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Rozpočet - vybrané sloupce" sheetId="1" r:id="rId1"/>
    <sheet name="Krycí list rozpočtu" sheetId="2" r:id="rId2"/>
    <sheet name="Stavební rozpočet" sheetId="3" state="very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" l="1"/>
  <c r="F2" i="2"/>
  <c r="C4" i="2"/>
  <c r="F4" i="2"/>
  <c r="C6" i="2"/>
  <c r="F6" i="2"/>
  <c r="C8" i="2"/>
  <c r="F8" i="2"/>
  <c r="C10" i="2"/>
  <c r="F10" i="2"/>
  <c r="I10" i="2"/>
  <c r="C14" i="2"/>
  <c r="C15" i="2"/>
  <c r="C16" i="2"/>
  <c r="C17" i="2"/>
  <c r="C18" i="2"/>
  <c r="C19" i="2"/>
  <c r="C20" i="2"/>
  <c r="C21" i="2"/>
  <c r="C22" i="2"/>
  <c r="F22" i="2"/>
  <c r="I22" i="2"/>
  <c r="C27" i="2"/>
  <c r="C28" i="2"/>
  <c r="F28" i="2"/>
  <c r="I28" i="2"/>
  <c r="C29" i="2"/>
  <c r="F29" i="2"/>
  <c r="I29" i="2"/>
  <c r="F2" i="1"/>
  <c r="AQ2" i="1"/>
  <c r="BD2" i="1"/>
  <c r="F4" i="1"/>
  <c r="AQ4" i="1"/>
  <c r="BD4" i="1"/>
  <c r="F6" i="1"/>
  <c r="AQ6" i="1"/>
  <c r="BD6" i="1"/>
  <c r="F8" i="1"/>
  <c r="AQ8" i="1"/>
  <c r="BD8" i="1"/>
  <c r="AO11" i="1"/>
  <c r="AW11" i="1"/>
  <c r="AO12" i="1"/>
  <c r="AW12" i="1"/>
  <c r="IR12" i="1"/>
  <c r="IS12" i="1"/>
  <c r="AO13" i="1"/>
  <c r="AW13" i="1"/>
  <c r="AO14" i="1"/>
  <c r="AW14" i="1"/>
  <c r="IR14" i="1"/>
  <c r="IS14" i="1"/>
  <c r="AO15" i="1"/>
  <c r="AW15" i="1"/>
  <c r="AO16" i="1"/>
  <c r="AW16" i="1"/>
  <c r="IR16" i="1"/>
  <c r="IS16" i="1"/>
  <c r="AO17" i="1"/>
  <c r="AW17" i="1"/>
  <c r="IR17" i="1"/>
  <c r="IS17" i="1"/>
  <c r="AO18" i="1"/>
  <c r="AW18" i="1"/>
  <c r="AO19" i="1"/>
  <c r="AW19" i="1"/>
  <c r="IR19" i="1"/>
  <c r="IS19" i="1"/>
  <c r="AO20" i="1"/>
  <c r="AW20" i="1"/>
  <c r="IR20" i="1"/>
  <c r="IS20" i="1"/>
  <c r="AO21" i="1"/>
  <c r="AW21" i="1"/>
  <c r="IR21" i="1"/>
  <c r="IS21" i="1"/>
  <c r="AO22" i="1"/>
  <c r="AW22" i="1"/>
  <c r="AO23" i="1"/>
  <c r="AW23" i="1"/>
  <c r="IR23" i="1"/>
  <c r="IS23" i="1"/>
  <c r="AO24" i="1"/>
  <c r="AW24" i="1"/>
  <c r="IR24" i="1"/>
  <c r="IS24" i="1"/>
  <c r="AO25" i="1"/>
  <c r="AW25" i="1"/>
  <c r="IR25" i="1"/>
  <c r="IS25" i="1"/>
  <c r="AO26" i="1"/>
  <c r="AW26" i="1"/>
  <c r="IR26" i="1"/>
  <c r="IS26" i="1"/>
  <c r="AO27" i="1"/>
  <c r="AW27" i="1"/>
  <c r="IR27" i="1"/>
  <c r="IS27" i="1"/>
  <c r="AO28" i="1"/>
  <c r="AW28" i="1"/>
  <c r="IR28" i="1"/>
  <c r="IS28" i="1"/>
  <c r="AO29" i="1"/>
  <c r="AW29" i="1"/>
  <c r="IR29" i="1"/>
  <c r="IS29" i="1"/>
  <c r="AO30" i="1"/>
  <c r="AW30" i="1"/>
  <c r="IR30" i="1"/>
  <c r="IS30" i="1"/>
  <c r="AO31" i="1"/>
  <c r="AW31" i="1"/>
  <c r="AO32" i="1"/>
  <c r="AW32" i="1"/>
  <c r="IR32" i="1"/>
  <c r="IS32" i="1"/>
  <c r="AO34" i="1"/>
  <c r="H12" i="3"/>
  <c r="I12" i="3"/>
  <c r="J12" i="3"/>
  <c r="L12" i="3"/>
  <c r="AI12" i="3"/>
  <c r="AJ12" i="3"/>
  <c r="AK12" i="3"/>
  <c r="F13" i="3"/>
  <c r="G13" i="3"/>
  <c r="H13" i="3"/>
  <c r="I13" i="3"/>
  <c r="J13" i="3"/>
  <c r="L13" i="3"/>
  <c r="P13" i="3"/>
  <c r="R13" i="3"/>
  <c r="S13" i="3"/>
  <c r="T13" i="3"/>
  <c r="U13" i="3"/>
  <c r="V13" i="3"/>
  <c r="W13" i="3"/>
  <c r="X13" i="3"/>
  <c r="Z13" i="3"/>
  <c r="AA13" i="3"/>
  <c r="AB13" i="3"/>
  <c r="AE13" i="3"/>
  <c r="AF13" i="3"/>
  <c r="AM13" i="3"/>
  <c r="AN13" i="3"/>
  <c r="AS13" i="3"/>
  <c r="AT13" i="3"/>
  <c r="AV13" i="3"/>
  <c r="H14" i="3"/>
  <c r="I14" i="3"/>
  <c r="J14" i="3"/>
  <c r="L14" i="3"/>
  <c r="AI14" i="3"/>
  <c r="AJ14" i="3"/>
  <c r="AK14" i="3"/>
  <c r="F15" i="3"/>
  <c r="G15" i="3"/>
  <c r="H15" i="3"/>
  <c r="I15" i="3"/>
  <c r="J15" i="3"/>
  <c r="L15" i="3"/>
  <c r="P15" i="3"/>
  <c r="R15" i="3"/>
  <c r="S15" i="3"/>
  <c r="T15" i="3"/>
  <c r="U15" i="3"/>
  <c r="V15" i="3"/>
  <c r="W15" i="3"/>
  <c r="X15" i="3"/>
  <c r="Z15" i="3"/>
  <c r="AA15" i="3"/>
  <c r="AB15" i="3"/>
  <c r="AE15" i="3"/>
  <c r="AF15" i="3"/>
  <c r="AM15" i="3"/>
  <c r="AN15" i="3"/>
  <c r="AS15" i="3"/>
  <c r="AT15" i="3"/>
  <c r="AV15" i="3"/>
  <c r="H16" i="3"/>
  <c r="I16" i="3"/>
  <c r="J16" i="3"/>
  <c r="L16" i="3"/>
  <c r="AI16" i="3"/>
  <c r="AJ16" i="3"/>
  <c r="AK16" i="3"/>
  <c r="F17" i="3"/>
  <c r="G17" i="3"/>
  <c r="H17" i="3"/>
  <c r="I17" i="3"/>
  <c r="J17" i="3"/>
  <c r="L17" i="3"/>
  <c r="P17" i="3"/>
  <c r="R17" i="3"/>
  <c r="S17" i="3"/>
  <c r="T17" i="3"/>
  <c r="U17" i="3"/>
  <c r="V17" i="3"/>
  <c r="W17" i="3"/>
  <c r="X17" i="3"/>
  <c r="Z17" i="3"/>
  <c r="AA17" i="3"/>
  <c r="AB17" i="3"/>
  <c r="AE17" i="3"/>
  <c r="AF17" i="3"/>
  <c r="AM17" i="3"/>
  <c r="AN17" i="3"/>
  <c r="AS17" i="3"/>
  <c r="AT17" i="3"/>
  <c r="AV17" i="3"/>
  <c r="F18" i="3"/>
  <c r="G18" i="3"/>
  <c r="H18" i="3"/>
  <c r="I18" i="3"/>
  <c r="J18" i="3"/>
  <c r="L18" i="3"/>
  <c r="P18" i="3"/>
  <c r="R18" i="3"/>
  <c r="S18" i="3"/>
  <c r="T18" i="3"/>
  <c r="U18" i="3"/>
  <c r="V18" i="3"/>
  <c r="W18" i="3"/>
  <c r="X18" i="3"/>
  <c r="Z18" i="3"/>
  <c r="AA18" i="3"/>
  <c r="AB18" i="3"/>
  <c r="AE18" i="3"/>
  <c r="AF18" i="3"/>
  <c r="AM18" i="3"/>
  <c r="AN18" i="3"/>
  <c r="AS18" i="3"/>
  <c r="AT18" i="3"/>
  <c r="AV18" i="3"/>
  <c r="H19" i="3"/>
  <c r="I19" i="3"/>
  <c r="J19" i="3"/>
  <c r="L19" i="3"/>
  <c r="AI19" i="3"/>
  <c r="AJ19" i="3"/>
  <c r="AK19" i="3"/>
  <c r="F20" i="3"/>
  <c r="G20" i="3"/>
  <c r="H20" i="3"/>
  <c r="I20" i="3"/>
  <c r="J20" i="3"/>
  <c r="L20" i="3"/>
  <c r="P20" i="3"/>
  <c r="R20" i="3"/>
  <c r="S20" i="3"/>
  <c r="T20" i="3"/>
  <c r="U20" i="3"/>
  <c r="V20" i="3"/>
  <c r="W20" i="3"/>
  <c r="X20" i="3"/>
  <c r="Z20" i="3"/>
  <c r="AA20" i="3"/>
  <c r="AB20" i="3"/>
  <c r="AE20" i="3"/>
  <c r="AF20" i="3"/>
  <c r="AM20" i="3"/>
  <c r="AN20" i="3"/>
  <c r="AS20" i="3"/>
  <c r="AT20" i="3"/>
  <c r="AV20" i="3"/>
  <c r="F21" i="3"/>
  <c r="G21" i="3"/>
  <c r="H21" i="3"/>
  <c r="I21" i="3"/>
  <c r="J21" i="3"/>
  <c r="L21" i="3"/>
  <c r="P21" i="3"/>
  <c r="R21" i="3"/>
  <c r="S21" i="3"/>
  <c r="T21" i="3"/>
  <c r="U21" i="3"/>
  <c r="V21" i="3"/>
  <c r="W21" i="3"/>
  <c r="X21" i="3"/>
  <c r="Z21" i="3"/>
  <c r="AA21" i="3"/>
  <c r="AB21" i="3"/>
  <c r="AE21" i="3"/>
  <c r="AF21" i="3"/>
  <c r="AM21" i="3"/>
  <c r="AN21" i="3"/>
  <c r="AS21" i="3"/>
  <c r="AT21" i="3"/>
  <c r="AV21" i="3"/>
  <c r="F22" i="3"/>
  <c r="G22" i="3"/>
  <c r="H22" i="3"/>
  <c r="I22" i="3"/>
  <c r="J22" i="3"/>
  <c r="L22" i="3"/>
  <c r="P22" i="3"/>
  <c r="R22" i="3"/>
  <c r="S22" i="3"/>
  <c r="T22" i="3"/>
  <c r="U22" i="3"/>
  <c r="V22" i="3"/>
  <c r="W22" i="3"/>
  <c r="X22" i="3"/>
  <c r="Z22" i="3"/>
  <c r="AA22" i="3"/>
  <c r="AB22" i="3"/>
  <c r="AE22" i="3"/>
  <c r="AF22" i="3"/>
  <c r="AM22" i="3"/>
  <c r="AN22" i="3"/>
  <c r="AS22" i="3"/>
  <c r="AT22" i="3"/>
  <c r="AV22" i="3"/>
  <c r="H23" i="3"/>
  <c r="I23" i="3"/>
  <c r="J23" i="3"/>
  <c r="L23" i="3"/>
  <c r="AI23" i="3"/>
  <c r="AJ23" i="3"/>
  <c r="AK23" i="3"/>
  <c r="F24" i="3"/>
  <c r="G24" i="3"/>
  <c r="H24" i="3"/>
  <c r="I24" i="3"/>
  <c r="J24" i="3"/>
  <c r="L24" i="3"/>
  <c r="P24" i="3"/>
  <c r="R24" i="3"/>
  <c r="S24" i="3"/>
  <c r="T24" i="3"/>
  <c r="U24" i="3"/>
  <c r="V24" i="3"/>
  <c r="W24" i="3"/>
  <c r="X24" i="3"/>
  <c r="Z24" i="3"/>
  <c r="AA24" i="3"/>
  <c r="AB24" i="3"/>
  <c r="AE24" i="3"/>
  <c r="AF24" i="3"/>
  <c r="AM24" i="3"/>
  <c r="AN24" i="3"/>
  <c r="AS24" i="3"/>
  <c r="AT24" i="3"/>
  <c r="AV24" i="3"/>
  <c r="F25" i="3"/>
  <c r="G25" i="3"/>
  <c r="H25" i="3"/>
  <c r="I25" i="3"/>
  <c r="J25" i="3"/>
  <c r="L25" i="3"/>
  <c r="P25" i="3"/>
  <c r="R25" i="3"/>
  <c r="S25" i="3"/>
  <c r="T25" i="3"/>
  <c r="U25" i="3"/>
  <c r="V25" i="3"/>
  <c r="W25" i="3"/>
  <c r="X25" i="3"/>
  <c r="Z25" i="3"/>
  <c r="AA25" i="3"/>
  <c r="AB25" i="3"/>
  <c r="AE25" i="3"/>
  <c r="AF25" i="3"/>
  <c r="AM25" i="3"/>
  <c r="AN25" i="3"/>
  <c r="AS25" i="3"/>
  <c r="AT25" i="3"/>
  <c r="AV25" i="3"/>
  <c r="F26" i="3"/>
  <c r="G26" i="3"/>
  <c r="H26" i="3"/>
  <c r="I26" i="3"/>
  <c r="J26" i="3"/>
  <c r="L26" i="3"/>
  <c r="P26" i="3"/>
  <c r="R26" i="3"/>
  <c r="S26" i="3"/>
  <c r="T26" i="3"/>
  <c r="U26" i="3"/>
  <c r="V26" i="3"/>
  <c r="W26" i="3"/>
  <c r="X26" i="3"/>
  <c r="Z26" i="3"/>
  <c r="AA26" i="3"/>
  <c r="AB26" i="3"/>
  <c r="AE26" i="3"/>
  <c r="AF26" i="3"/>
  <c r="AM26" i="3"/>
  <c r="AN26" i="3"/>
  <c r="AS26" i="3"/>
  <c r="AT26" i="3"/>
  <c r="AV26" i="3"/>
  <c r="F27" i="3"/>
  <c r="G27" i="3"/>
  <c r="H27" i="3"/>
  <c r="I27" i="3"/>
  <c r="J27" i="3"/>
  <c r="L27" i="3"/>
  <c r="P27" i="3"/>
  <c r="R27" i="3"/>
  <c r="S27" i="3"/>
  <c r="T27" i="3"/>
  <c r="U27" i="3"/>
  <c r="V27" i="3"/>
  <c r="W27" i="3"/>
  <c r="X27" i="3"/>
  <c r="Z27" i="3"/>
  <c r="AA27" i="3"/>
  <c r="AB27" i="3"/>
  <c r="AE27" i="3"/>
  <c r="AF27" i="3"/>
  <c r="AM27" i="3"/>
  <c r="AN27" i="3"/>
  <c r="AS27" i="3"/>
  <c r="AT27" i="3"/>
  <c r="AV27" i="3"/>
  <c r="F28" i="3"/>
  <c r="G28" i="3"/>
  <c r="H28" i="3"/>
  <c r="I28" i="3"/>
  <c r="J28" i="3"/>
  <c r="L28" i="3"/>
  <c r="P28" i="3"/>
  <c r="R28" i="3"/>
  <c r="S28" i="3"/>
  <c r="T28" i="3"/>
  <c r="U28" i="3"/>
  <c r="V28" i="3"/>
  <c r="W28" i="3"/>
  <c r="X28" i="3"/>
  <c r="Z28" i="3"/>
  <c r="AA28" i="3"/>
  <c r="AB28" i="3"/>
  <c r="AE28" i="3"/>
  <c r="AF28" i="3"/>
  <c r="AM28" i="3"/>
  <c r="AN28" i="3"/>
  <c r="AS28" i="3"/>
  <c r="AT28" i="3"/>
  <c r="AV28" i="3"/>
  <c r="F29" i="3"/>
  <c r="G29" i="3"/>
  <c r="H29" i="3"/>
  <c r="I29" i="3"/>
  <c r="J29" i="3"/>
  <c r="L29" i="3"/>
  <c r="P29" i="3"/>
  <c r="R29" i="3"/>
  <c r="S29" i="3"/>
  <c r="T29" i="3"/>
  <c r="U29" i="3"/>
  <c r="V29" i="3"/>
  <c r="W29" i="3"/>
  <c r="X29" i="3"/>
  <c r="Z29" i="3"/>
  <c r="AA29" i="3"/>
  <c r="AB29" i="3"/>
  <c r="AE29" i="3"/>
  <c r="AF29" i="3"/>
  <c r="AM29" i="3"/>
  <c r="AN29" i="3"/>
  <c r="AS29" i="3"/>
  <c r="AT29" i="3"/>
  <c r="AV29" i="3"/>
  <c r="F30" i="3"/>
  <c r="G30" i="3"/>
  <c r="H30" i="3"/>
  <c r="I30" i="3"/>
  <c r="J30" i="3"/>
  <c r="L30" i="3"/>
  <c r="P30" i="3"/>
  <c r="R30" i="3"/>
  <c r="S30" i="3"/>
  <c r="T30" i="3"/>
  <c r="U30" i="3"/>
  <c r="V30" i="3"/>
  <c r="W30" i="3"/>
  <c r="X30" i="3"/>
  <c r="Z30" i="3"/>
  <c r="AA30" i="3"/>
  <c r="AB30" i="3"/>
  <c r="AE30" i="3"/>
  <c r="AF30" i="3"/>
  <c r="AM30" i="3"/>
  <c r="AN30" i="3"/>
  <c r="AS30" i="3"/>
  <c r="AT30" i="3"/>
  <c r="AV30" i="3"/>
  <c r="F31" i="3"/>
  <c r="G31" i="3"/>
  <c r="H31" i="3"/>
  <c r="I31" i="3"/>
  <c r="J31" i="3"/>
  <c r="L31" i="3"/>
  <c r="P31" i="3"/>
  <c r="R31" i="3"/>
  <c r="S31" i="3"/>
  <c r="T31" i="3"/>
  <c r="U31" i="3"/>
  <c r="V31" i="3"/>
  <c r="W31" i="3"/>
  <c r="X31" i="3"/>
  <c r="Z31" i="3"/>
  <c r="AA31" i="3"/>
  <c r="AB31" i="3"/>
  <c r="AE31" i="3"/>
  <c r="AF31" i="3"/>
  <c r="AM31" i="3"/>
  <c r="AN31" i="3"/>
  <c r="AS31" i="3"/>
  <c r="AT31" i="3"/>
  <c r="AV31" i="3"/>
  <c r="H32" i="3"/>
  <c r="I32" i="3"/>
  <c r="J32" i="3"/>
  <c r="L32" i="3"/>
  <c r="AI32" i="3"/>
  <c r="AJ32" i="3"/>
  <c r="AK32" i="3"/>
  <c r="F33" i="3"/>
  <c r="G33" i="3"/>
  <c r="H33" i="3"/>
  <c r="I33" i="3"/>
  <c r="J33" i="3"/>
  <c r="L33" i="3"/>
  <c r="P33" i="3"/>
  <c r="R33" i="3"/>
  <c r="S33" i="3"/>
  <c r="T33" i="3"/>
  <c r="U33" i="3"/>
  <c r="V33" i="3"/>
  <c r="W33" i="3"/>
  <c r="X33" i="3"/>
  <c r="Z33" i="3"/>
  <c r="AA33" i="3"/>
  <c r="AB33" i="3"/>
  <c r="AE33" i="3"/>
  <c r="AF33" i="3"/>
  <c r="AM33" i="3"/>
  <c r="AN33" i="3"/>
  <c r="AS33" i="3"/>
  <c r="AT33" i="3"/>
  <c r="AV33" i="3"/>
  <c r="J34" i="3"/>
</calcChain>
</file>

<file path=xl/sharedStrings.xml><?xml version="1.0" encoding="utf-8"?>
<sst xmlns="http://schemas.openxmlformats.org/spreadsheetml/2006/main" count="419" uniqueCount="165">
  <si>
    <t>Slepý stavební rozpočet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</si>
  <si>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</si>
  <si>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</si>
  <si>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</si>
  <si>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</si>
  <si>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</si>
  <si>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</si>
  <si>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</si>
  <si>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</si>
  <si>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</si>
  <si>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</si>
  <si>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</si>
  <si>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</si>
  <si>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</si>
  <si>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</si>
  <si>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</si>
  <si>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M.j.</t>
  </si>
  <si>
    <t>Množství</t>
  </si>
  <si>
    <t>Jednotková cena (Kč)</t>
  </si>
  <si>
    <t>Náklady celkem (Kč)</t>
  </si>
  <si>
    <t>Celková hmotnost(t)</t>
  </si>
  <si>
    <t xml:space="preserve"> </t>
  </si>
  <si>
    <t>01</t>
  </si>
  <si>
    <t>Budovy občanské výstavby</t>
  </si>
  <si>
    <t>1</t>
  </si>
  <si>
    <t>998011001R00</t>
  </si>
  <si>
    <t>Přesun hmot pro budovy zděné výšky do 6 m</t>
  </si>
  <si>
    <t>t</t>
  </si>
  <si>
    <t>12</t>
  </si>
  <si>
    <t>Odkopávky a prokopávky</t>
  </si>
  <si>
    <t>2</t>
  </si>
  <si>
    <t>121101100R00</t>
  </si>
  <si>
    <t>Sejmutí ornice, pl. do 400 m2, přemístění do 50 m</t>
  </si>
  <si>
    <t>m3</t>
  </si>
  <si>
    <t>13</t>
  </si>
  <si>
    <t>Hloubené vykopávky</t>
  </si>
  <si>
    <t>3</t>
  </si>
  <si>
    <t>132201210R00</t>
  </si>
  <si>
    <t>Hloubení rýh š.do 200 cm hor.3</t>
  </si>
  <si>
    <t>4</t>
  </si>
  <si>
    <t>132201219R00</t>
  </si>
  <si>
    <t>Přípl.za lepivost,hloubení rýh 200cm,hor.3,STROJNĚ</t>
  </si>
  <si>
    <t>16</t>
  </si>
  <si>
    <t>Přemístění výkopku</t>
  </si>
  <si>
    <t>5</t>
  </si>
  <si>
    <t>162701105R00</t>
  </si>
  <si>
    <t>Vodorovné přemístění výkopku z hor.1-4 do 10000 m</t>
  </si>
  <si>
    <t>6</t>
  </si>
  <si>
    <t>162702199R00</t>
  </si>
  <si>
    <t>Poplatek za skládku zeminy</t>
  </si>
  <si>
    <t>7</t>
  </si>
  <si>
    <t>162701109R00</t>
  </si>
  <si>
    <t>Příplatek k vod. přemístění hor.1-4 za další 1 km</t>
  </si>
  <si>
    <t>27</t>
  </si>
  <si>
    <t>Základy</t>
  </si>
  <si>
    <t>8</t>
  </si>
  <si>
    <t>274311116R00</t>
  </si>
  <si>
    <t>Beton základ. pasů prostý z cem. portland. C 16/20</t>
  </si>
  <si>
    <t>9</t>
  </si>
  <si>
    <t>271531113R00</t>
  </si>
  <si>
    <t>Polštář základu z kameniva hr. drceného 16-32 mm</t>
  </si>
  <si>
    <t>10</t>
  </si>
  <si>
    <t>274272140RT3</t>
  </si>
  <si>
    <t>Zdivo základové z bednicích tvárnic, tl. 30 cm</t>
  </si>
  <si>
    <t>m2</t>
  </si>
  <si>
    <t>11</t>
  </si>
  <si>
    <t>274361921RT8</t>
  </si>
  <si>
    <t>Výztuž základových pasů ze svařovaných sítí</t>
  </si>
  <si>
    <t>274361211R00</t>
  </si>
  <si>
    <t>Výztuž základových pásů do 12 mm z oceli 10216 (E)</t>
  </si>
  <si>
    <t>273311116R00</t>
  </si>
  <si>
    <t>Beton základ. desek prostý z cem. portlad. C 16/20</t>
  </si>
  <si>
    <t>14</t>
  </si>
  <si>
    <t>273351215R00</t>
  </si>
  <si>
    <t>Bednění stěn základových desek - zřízení</t>
  </si>
  <si>
    <t>15</t>
  </si>
  <si>
    <t>273351216R00</t>
  </si>
  <si>
    <t>Bednění stěn základových desek - odstranění</t>
  </si>
  <si>
    <t>S</t>
  </si>
  <si>
    <t>Přesuny sutí</t>
  </si>
  <si>
    <t>979095211R01</t>
  </si>
  <si>
    <t>Doprava podkladu na stavbu</t>
  </si>
  <si>
    <t>km</t>
  </si>
  <si>
    <t>Celkem:</t>
  </si>
  <si>
    <t>IČ/DIČ: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</si>
  <si>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</si>
  <si>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</si>
  <si>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</si>
  <si>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</si>
  <si>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</si>
  <si>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</si>
  <si>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</si>
  <si>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</si>
  <si>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</si>
  <si>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</si>
  <si>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</si>
  <si>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</si>
  <si>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</si>
  <si>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</si>
  <si>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</si>
  <si>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</si>
  <si>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</si>
  <si>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</si>
  <si>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</si>
  <si>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</si>
  <si>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</si>
  <si>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</si>
  <si>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</si>
  <si>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</si>
  <si>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</si>
  <si>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</si>
  <si>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</si>
  <si>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</si>
  <si>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</si>
  <si>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</si>
  <si>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</si>
  <si>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</si>
  <si>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</si>
  <si>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</si>
  <si>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</si>
  <si>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</si>
  <si>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</si>
  <si>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</si>
  <si>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</si>
  <si>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</si>
  <si>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</si>
  <si>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</si>
  <si>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</si>
  <si>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</si>
  <si>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Novostavba Garáže</t>
  </si>
  <si>
    <t>Vestec č. par. 8/2</t>
  </si>
  <si>
    <t>Objekt</t>
  </si>
  <si>
    <t>Jednot.</t>
  </si>
  <si>
    <t>Náklady (Kč)</t>
  </si>
  <si>
    <t>Hmotnost (t)</t>
  </si>
  <si>
    <t>Cenová</t>
  </si>
  <si>
    <t>Rozměry</t>
  </si>
  <si>
    <t>cena 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</si>
  <si>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</si>
  <si>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</si>
  <si>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</si>
  <si>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</si>
  <si>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</si>
  <si>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</si>
  <si>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</si>
  <si>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</si>
  <si>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</si>
  <si>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</si>
  <si>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</si>
  <si>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</si>
  <si>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RTS I / 2018</t>
  </si>
  <si>
    <t>01_</t>
  </si>
  <si>
    <t>0_</t>
  </si>
  <si>
    <t>_</t>
  </si>
  <si>
    <t>12_</t>
  </si>
  <si>
    <t>1_</t>
  </si>
  <si>
    <t>13_</t>
  </si>
  <si>
    <t>16_</t>
  </si>
  <si>
    <t>27_</t>
  </si>
  <si>
    <t>2_</t>
  </si>
  <si>
    <t>RTS II / 2017</t>
  </si>
  <si>
    <t>S_</t>
  </si>
  <si>
    <t>9_</t>
  </si>
  <si>
    <t>Krycí list rozpočtu</t>
  </si>
  <si>
    <t xml:space="preserve"> Stavební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</si>
</sst>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61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i/>
      <sz val="8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56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1" fillId="0" borderId="0" xfId="0" applyFont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49" fontId="7" fillId="3" borderId="3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49" fontId="8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49" fontId="9" fillId="0" borderId="3" xfId="0" applyNumberFormat="1" applyFont="1" applyFill="1" applyBorder="1" applyAlignment="1" applyProtection="1">
      <alignment horizontal="right" vertical="center"/>
    </xf>
    <xf numFmtId="4" fontId="9" fillId="0" borderId="11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4" fontId="8" fillId="3" borderId="16" xfId="0" applyNumberFormat="1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1" fillId="0" borderId="18" xfId="0" applyNumberFormat="1" applyFont="1" applyFill="1" applyBorder="1" applyAlignment="1" applyProtection="1">
      <alignment horizontal="left" vertical="center"/>
    </xf>
    <xf numFmtId="49" fontId="12" fillId="2" borderId="8" xfId="0" applyNumberFormat="1" applyFont="1" applyFill="1" applyBorder="1" applyAlignment="1" applyProtection="1">
      <alignment horizontal="left" vertical="center"/>
    </xf>
    <xf numFmtId="49" fontId="12" fillId="2" borderId="0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5" fillId="2" borderId="8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3" fillId="0" borderId="20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5" fillId="2" borderId="8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" fontId="5" fillId="2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4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49" fontId="3" fillId="2" borderId="8" xfId="0" applyNumberFormat="1" applyFont="1" applyFill="1" applyBorder="1" applyAlignment="1" applyProtection="1">
      <alignment horizontal="left" vertical="center"/>
    </xf>
    <xf numFmtId="0" fontId="3" fillId="2" borderId="8" xfId="0" applyNumberFormat="1" applyFont="1" applyFill="1" applyBorder="1" applyAlignment="1" applyProtection="1">
      <alignment horizontal="left" vertical="center"/>
    </xf>
    <xf numFmtId="49" fontId="3" fillId="2" borderId="8" xfId="0" applyNumberFormat="1" applyFont="1" applyFill="1" applyBorder="1" applyAlignment="1" applyProtection="1">
      <alignment horizontal="right" vertical="center"/>
    </xf>
    <xf numFmtId="0" fontId="3" fillId="2" borderId="8" xfId="0" applyNumberFormat="1" applyFont="1" applyFill="1" applyBorder="1" applyAlignment="1" applyProtection="1">
      <alignment horizontal="right" vertical="center"/>
    </xf>
    <xf numFmtId="4" fontId="3" fillId="2" borderId="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49" fontId="9" fillId="0" borderId="15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5" xfId="0" applyNumberFormat="1" applyFont="1" applyFill="1" applyBorder="1" applyAlignment="1" applyProtection="1">
      <alignment horizontal="left" vertical="center"/>
    </xf>
    <xf numFmtId="49" fontId="9" fillId="0" borderId="36" xfId="0" applyNumberFormat="1" applyFont="1" applyFill="1" applyBorder="1" applyAlignment="1" applyProtection="1">
      <alignment horizontal="left" vertical="center"/>
    </xf>
    <xf numFmtId="0" fontId="9" fillId="0" borderId="37" xfId="0" applyNumberFormat="1" applyFont="1" applyFill="1" applyBorder="1" applyAlignment="1" applyProtection="1">
      <alignment horizontal="left" vertical="center"/>
    </xf>
    <xf numFmtId="0" fontId="9" fillId="0" borderId="38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left" vertical="center"/>
    </xf>
    <xf numFmtId="49" fontId="8" fillId="3" borderId="14" xfId="0" applyNumberFormat="1" applyFont="1" applyFill="1" applyBorder="1" applyAlignment="1" applyProtection="1">
      <alignment horizontal="left" vertical="center"/>
    </xf>
    <xf numFmtId="0" fontId="8" fillId="3" borderId="32" xfId="0" applyNumberFormat="1" applyFont="1" applyFill="1" applyBorder="1" applyAlignment="1" applyProtection="1">
      <alignment horizontal="left" vertical="center"/>
    </xf>
    <xf numFmtId="49" fontId="8" fillId="0" borderId="14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49" fontId="6" fillId="0" borderId="32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0" fontId="11" fillId="0" borderId="16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horizontal="left" vertical="center"/>
    </xf>
    <xf numFmtId="0" fontId="1" fillId="0" borderId="37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895350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xmlns="" id="{EACD66B4-4B31-45FB-B388-CC8C4082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4"/>
  <sheetViews>
    <sheetView tabSelected="1" workbookViewId="0">
      <pane ySplit="10" topLeftCell="A11" activePane="bottomLeft" state="frozenSplit"/>
      <selection pane="bottomLeft" sqref="A1:BD1"/>
    </sheetView>
  </sheetViews>
  <sheetFormatPr defaultColWidth="11.5703125" defaultRowHeight="12.75" x14ac:dyDescent="0.2"/>
  <cols>
    <col min="1" max="56" width="2.85546875" customWidth="1"/>
    <col min="251" max="254" width="12.140625" hidden="1" customWidth="1"/>
  </cols>
  <sheetData>
    <row r="1" spans="1:253" ht="73.150000000000006" customHeight="1" x14ac:dyDescent="0.35">
      <c r="A1" s="88" t="s">
        <v>164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</row>
    <row r="2" spans="1:253" x14ac:dyDescent="0.2">
      <c r="A2" s="90" t="s">
        <v>1</v>
      </c>
      <c r="B2" s="91"/>
      <c r="C2" s="91"/>
      <c r="D2" s="91"/>
      <c r="E2" s="91"/>
      <c r="F2" s="92" t="str">
        <f>'Stavební rozpočet'!D2</f>
        <v>Novostavba Garáže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4" t="s">
        <v>2</v>
      </c>
      <c r="AK2" s="91"/>
      <c r="AL2" s="91"/>
      <c r="AM2" s="91"/>
      <c r="AN2" s="91"/>
      <c r="AO2" s="91"/>
      <c r="AP2" s="91"/>
      <c r="AQ2" s="95" t="str">
        <f>'Stavební rozpočet'!G2</f>
        <v xml:space="preserve"> </v>
      </c>
      <c r="AR2" s="91"/>
      <c r="AS2" s="91"/>
      <c r="AT2" s="91"/>
      <c r="AU2" s="91"/>
      <c r="AV2" s="91"/>
      <c r="AW2" s="95" t="s">
        <v>3</v>
      </c>
      <c r="AX2" s="91"/>
      <c r="AY2" s="91"/>
      <c r="AZ2" s="91"/>
      <c r="BA2" s="91"/>
      <c r="BB2" s="91"/>
      <c r="BC2" s="91"/>
      <c r="BD2" s="96" t="str">
        <f>'Stavební rozpočet'!J2</f>
        <v xml:space="preserve"> </v>
      </c>
      <c r="BE2" s="1"/>
    </row>
    <row r="3" spans="1:253" x14ac:dyDescent="0.2">
      <c r="A3" s="80"/>
      <c r="B3" s="79"/>
      <c r="C3" s="79"/>
      <c r="D3" s="79"/>
      <c r="E3" s="79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84"/>
      <c r="BE3" s="1"/>
    </row>
    <row r="4" spans="1:253" x14ac:dyDescent="0.2">
      <c r="A4" s="78" t="s">
        <v>4</v>
      </c>
      <c r="B4" s="79"/>
      <c r="C4" s="79"/>
      <c r="D4" s="79"/>
      <c r="E4" s="79"/>
      <c r="F4" s="81" t="str">
        <f>'Stavební rozpočet'!D4</f>
        <v xml:space="preserve"> 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82" t="s">
        <v>5</v>
      </c>
      <c r="AK4" s="79"/>
      <c r="AL4" s="79"/>
      <c r="AM4" s="79"/>
      <c r="AN4" s="79"/>
      <c r="AO4" s="79"/>
      <c r="AP4" s="79"/>
      <c r="AQ4" s="81" t="str">
        <f>'Stavební rozpočet'!G4</f>
        <v xml:space="preserve"> </v>
      </c>
      <c r="AR4" s="79"/>
      <c r="AS4" s="79"/>
      <c r="AT4" s="79"/>
      <c r="AU4" s="79"/>
      <c r="AV4" s="79"/>
      <c r="AW4" s="81" t="s">
        <v>6</v>
      </c>
      <c r="AX4" s="79"/>
      <c r="AY4" s="79"/>
      <c r="AZ4" s="79"/>
      <c r="BA4" s="79"/>
      <c r="BB4" s="79"/>
      <c r="BC4" s="79"/>
      <c r="BD4" s="83" t="str">
        <f>'Stavební rozpočet'!J4</f>
        <v xml:space="preserve"> </v>
      </c>
      <c r="BE4" s="1"/>
    </row>
    <row r="5" spans="1:253" x14ac:dyDescent="0.2">
      <c r="A5" s="80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84"/>
      <c r="BE5" s="1"/>
    </row>
    <row r="6" spans="1:253" x14ac:dyDescent="0.2">
      <c r="A6" s="78" t="s">
        <v>7</v>
      </c>
      <c r="B6" s="79"/>
      <c r="C6" s="79"/>
      <c r="D6" s="79"/>
      <c r="E6" s="79"/>
      <c r="F6" s="81" t="str">
        <f>'Stavební rozpočet'!D6</f>
        <v>Vestec č. par. 8/2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82" t="s">
        <v>8</v>
      </c>
      <c r="AK6" s="79"/>
      <c r="AL6" s="79"/>
      <c r="AM6" s="79"/>
      <c r="AN6" s="79"/>
      <c r="AO6" s="79"/>
      <c r="AP6" s="79"/>
      <c r="AQ6" s="81" t="str">
        <f>'Stavební rozpočet'!G6</f>
        <v xml:space="preserve"> </v>
      </c>
      <c r="AR6" s="79"/>
      <c r="AS6" s="79"/>
      <c r="AT6" s="79"/>
      <c r="AU6" s="79"/>
      <c r="AV6" s="79"/>
      <c r="AW6" s="81" t="s">
        <v>9</v>
      </c>
      <c r="AX6" s="79"/>
      <c r="AY6" s="79"/>
      <c r="AZ6" s="79"/>
      <c r="BA6" s="79"/>
      <c r="BB6" s="79"/>
      <c r="BC6" s="79"/>
      <c r="BD6" s="83" t="str">
        <f>'Stavební rozpočet'!J6</f>
        <v xml:space="preserve"> </v>
      </c>
      <c r="BE6" s="1"/>
    </row>
    <row r="7" spans="1:253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84"/>
      <c r="BE7" s="1"/>
    </row>
    <row r="8" spans="1:253" x14ac:dyDescent="0.2">
      <c r="A8" s="78" t="s">
        <v>10</v>
      </c>
      <c r="B8" s="79"/>
      <c r="C8" s="79"/>
      <c r="D8" s="79"/>
      <c r="E8" s="79"/>
      <c r="F8" s="81">
        <f>'Stavební rozpočet'!D8</f>
        <v>8016911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2" t="s">
        <v>11</v>
      </c>
      <c r="AK8" s="79"/>
      <c r="AL8" s="79"/>
      <c r="AM8" s="79"/>
      <c r="AN8" s="79"/>
      <c r="AO8" s="79"/>
      <c r="AP8" s="79"/>
      <c r="AQ8" s="81" t="str">
        <f>'Stavební rozpočet'!G8</f>
        <v xml:space="preserve"> </v>
      </c>
      <c r="AR8" s="79"/>
      <c r="AS8" s="79"/>
      <c r="AT8" s="79"/>
      <c r="AU8" s="79"/>
      <c r="AV8" s="79"/>
      <c r="AW8" s="81" t="s">
        <v>12</v>
      </c>
      <c r="AX8" s="79"/>
      <c r="AY8" s="79"/>
      <c r="AZ8" s="79"/>
      <c r="BA8" s="79"/>
      <c r="BB8" s="79"/>
      <c r="BC8" s="79"/>
      <c r="BD8" s="83" t="str">
        <f>'Stavební rozpočet'!J8</f>
        <v xml:space="preserve"> </v>
      </c>
      <c r="BE8" s="1"/>
    </row>
    <row r="9" spans="1:253" x14ac:dyDescent="0.2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7"/>
      <c r="BE9" s="1"/>
    </row>
    <row r="10" spans="1:253" x14ac:dyDescent="0.2">
      <c r="A10" s="69" t="s">
        <v>13</v>
      </c>
      <c r="B10" s="70"/>
      <c r="C10" s="69" t="s">
        <v>14</v>
      </c>
      <c r="D10" s="71"/>
      <c r="E10" s="71"/>
      <c r="F10" s="71"/>
      <c r="G10" s="71"/>
      <c r="H10" s="70"/>
      <c r="I10" s="69" t="s">
        <v>15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0"/>
      <c r="Z10" s="69" t="s">
        <v>16</v>
      </c>
      <c r="AA10" s="70"/>
      <c r="AB10" s="69" t="s">
        <v>17</v>
      </c>
      <c r="AC10" s="71"/>
      <c r="AD10" s="71"/>
      <c r="AE10" s="71"/>
      <c r="AF10" s="70"/>
      <c r="AG10" s="69" t="s">
        <v>18</v>
      </c>
      <c r="AH10" s="71"/>
      <c r="AI10" s="71"/>
      <c r="AJ10" s="71"/>
      <c r="AK10" s="71"/>
      <c r="AL10" s="71"/>
      <c r="AM10" s="71"/>
      <c r="AN10" s="70"/>
      <c r="AO10" s="69" t="s">
        <v>19</v>
      </c>
      <c r="AP10" s="71"/>
      <c r="AQ10" s="71"/>
      <c r="AR10" s="71"/>
      <c r="AS10" s="71"/>
      <c r="AT10" s="71"/>
      <c r="AU10" s="71"/>
      <c r="AV10" s="70"/>
      <c r="AW10" s="69" t="s">
        <v>20</v>
      </c>
      <c r="AX10" s="71"/>
      <c r="AY10" s="71"/>
      <c r="AZ10" s="71"/>
      <c r="BA10" s="71"/>
      <c r="BB10" s="71"/>
      <c r="BC10" s="71"/>
      <c r="BD10" s="72"/>
      <c r="BE10" s="1"/>
    </row>
    <row r="11" spans="1:253" x14ac:dyDescent="0.2">
      <c r="A11" s="73" t="s">
        <v>21</v>
      </c>
      <c r="B11" s="74"/>
      <c r="C11" s="73" t="s">
        <v>22</v>
      </c>
      <c r="D11" s="74"/>
      <c r="E11" s="74"/>
      <c r="F11" s="74"/>
      <c r="G11" s="74"/>
      <c r="H11" s="74"/>
      <c r="I11" s="73" t="s">
        <v>23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3" t="s">
        <v>21</v>
      </c>
      <c r="AA11" s="74"/>
      <c r="AB11" s="75" t="s">
        <v>21</v>
      </c>
      <c r="AC11" s="76"/>
      <c r="AD11" s="76"/>
      <c r="AE11" s="76"/>
      <c r="AF11" s="76"/>
      <c r="AG11" s="75" t="s">
        <v>21</v>
      </c>
      <c r="AH11" s="76"/>
      <c r="AI11" s="76"/>
      <c r="AJ11" s="76"/>
      <c r="AK11" s="76"/>
      <c r="AL11" s="76"/>
      <c r="AM11" s="76"/>
      <c r="AN11" s="76"/>
      <c r="AO11" s="77">
        <f>SUM(AO12:AO12)</f>
        <v>0</v>
      </c>
      <c r="AP11" s="76"/>
      <c r="AQ11" s="76"/>
      <c r="AR11" s="76"/>
      <c r="AS11" s="76"/>
      <c r="AT11" s="76"/>
      <c r="AU11" s="76"/>
      <c r="AV11" s="76"/>
      <c r="AW11" s="77">
        <f>SUM(AW12:AW12)</f>
        <v>0</v>
      </c>
      <c r="AX11" s="76"/>
      <c r="AY11" s="76"/>
      <c r="AZ11" s="76"/>
      <c r="BA11" s="76"/>
      <c r="BB11" s="76"/>
      <c r="BC11" s="76"/>
      <c r="BD11" s="76"/>
    </row>
    <row r="12" spans="1:253" x14ac:dyDescent="0.2">
      <c r="A12" s="60" t="s">
        <v>24</v>
      </c>
      <c r="B12" s="61"/>
      <c r="C12" s="60" t="s">
        <v>25</v>
      </c>
      <c r="D12" s="61"/>
      <c r="E12" s="61"/>
      <c r="F12" s="61"/>
      <c r="G12" s="61"/>
      <c r="H12" s="61"/>
      <c r="I12" s="60" t="s">
        <v>26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0" t="s">
        <v>27</v>
      </c>
      <c r="AA12" s="61"/>
      <c r="AB12" s="54">
        <v>29.907699999999998</v>
      </c>
      <c r="AC12" s="55"/>
      <c r="AD12" s="55"/>
      <c r="AE12" s="55"/>
      <c r="AF12" s="55"/>
      <c r="AG12" s="54"/>
      <c r="AH12" s="55"/>
      <c r="AI12" s="55"/>
      <c r="AJ12" s="55"/>
      <c r="AK12" s="55"/>
      <c r="AL12" s="55"/>
      <c r="AM12" s="55"/>
      <c r="AN12" s="55"/>
      <c r="AO12" s="54">
        <f>IR12*AB12+IS12*AB12</f>
        <v>0</v>
      </c>
      <c r="AP12" s="55"/>
      <c r="AQ12" s="55"/>
      <c r="AR12" s="55"/>
      <c r="AS12" s="55"/>
      <c r="AT12" s="55"/>
      <c r="AU12" s="55"/>
      <c r="AV12" s="55"/>
      <c r="AW12" s="54">
        <f>0*AB12</f>
        <v>0</v>
      </c>
      <c r="AX12" s="55"/>
      <c r="AY12" s="55"/>
      <c r="AZ12" s="55"/>
      <c r="BA12" s="55"/>
      <c r="BB12" s="55"/>
      <c r="BC12" s="55"/>
      <c r="BD12" s="55"/>
      <c r="IR12" s="2">
        <f>AG12*0</f>
        <v>0</v>
      </c>
      <c r="IS12" s="2">
        <f>AG12*(1-0)</f>
        <v>0</v>
      </c>
    </row>
    <row r="13" spans="1:253" x14ac:dyDescent="0.2">
      <c r="A13" s="62" t="s">
        <v>21</v>
      </c>
      <c r="B13" s="63"/>
      <c r="C13" s="62" t="s">
        <v>28</v>
      </c>
      <c r="D13" s="63"/>
      <c r="E13" s="63"/>
      <c r="F13" s="63"/>
      <c r="G13" s="63"/>
      <c r="H13" s="63"/>
      <c r="I13" s="62" t="s">
        <v>29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2" t="s">
        <v>21</v>
      </c>
      <c r="AA13" s="63"/>
      <c r="AB13" s="64" t="s">
        <v>21</v>
      </c>
      <c r="AC13" s="65"/>
      <c r="AD13" s="65"/>
      <c r="AE13" s="65"/>
      <c r="AF13" s="65"/>
      <c r="AG13" s="64" t="s">
        <v>21</v>
      </c>
      <c r="AH13" s="65"/>
      <c r="AI13" s="65"/>
      <c r="AJ13" s="65"/>
      <c r="AK13" s="65"/>
      <c r="AL13" s="65"/>
      <c r="AM13" s="65"/>
      <c r="AN13" s="65"/>
      <c r="AO13" s="68">
        <f>SUM(AO14:AO14)</f>
        <v>0</v>
      </c>
      <c r="AP13" s="65"/>
      <c r="AQ13" s="65"/>
      <c r="AR13" s="65"/>
      <c r="AS13" s="65"/>
      <c r="AT13" s="65"/>
      <c r="AU13" s="65"/>
      <c r="AV13" s="65"/>
      <c r="AW13" s="68">
        <f>SUM(AW14:AW14)</f>
        <v>0</v>
      </c>
      <c r="AX13" s="65"/>
      <c r="AY13" s="65"/>
      <c r="AZ13" s="65"/>
      <c r="BA13" s="65"/>
      <c r="BB13" s="65"/>
      <c r="BC13" s="65"/>
      <c r="BD13" s="65"/>
    </row>
    <row r="14" spans="1:253" x14ac:dyDescent="0.2">
      <c r="A14" s="60" t="s">
        <v>30</v>
      </c>
      <c r="B14" s="61"/>
      <c r="C14" s="60" t="s">
        <v>31</v>
      </c>
      <c r="D14" s="61"/>
      <c r="E14" s="61"/>
      <c r="F14" s="61"/>
      <c r="G14" s="61"/>
      <c r="H14" s="61"/>
      <c r="I14" s="60" t="s">
        <v>32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0" t="s">
        <v>33</v>
      </c>
      <c r="AA14" s="61"/>
      <c r="AB14" s="54">
        <v>17.07113</v>
      </c>
      <c r="AC14" s="55"/>
      <c r="AD14" s="55"/>
      <c r="AE14" s="55"/>
      <c r="AF14" s="55"/>
      <c r="AG14" s="54"/>
      <c r="AH14" s="55"/>
      <c r="AI14" s="55"/>
      <c r="AJ14" s="55"/>
      <c r="AK14" s="55"/>
      <c r="AL14" s="55"/>
      <c r="AM14" s="55"/>
      <c r="AN14" s="55"/>
      <c r="AO14" s="54">
        <f>IR14*AB14+IS14*AB14</f>
        <v>0</v>
      </c>
      <c r="AP14" s="55"/>
      <c r="AQ14" s="55"/>
      <c r="AR14" s="55"/>
      <c r="AS14" s="55"/>
      <c r="AT14" s="55"/>
      <c r="AU14" s="55"/>
      <c r="AV14" s="55"/>
      <c r="AW14" s="54">
        <f>0*AB14</f>
        <v>0</v>
      </c>
      <c r="AX14" s="55"/>
      <c r="AY14" s="55"/>
      <c r="AZ14" s="55"/>
      <c r="BA14" s="55"/>
      <c r="BB14" s="55"/>
      <c r="BC14" s="55"/>
      <c r="BD14" s="55"/>
      <c r="IR14" s="2">
        <f>AG14*0</f>
        <v>0</v>
      </c>
      <c r="IS14" s="2">
        <f>AG14*(1-0)</f>
        <v>0</v>
      </c>
    </row>
    <row r="15" spans="1:253" x14ac:dyDescent="0.2">
      <c r="A15" s="62" t="s">
        <v>21</v>
      </c>
      <c r="B15" s="63"/>
      <c r="C15" s="62" t="s">
        <v>34</v>
      </c>
      <c r="D15" s="63"/>
      <c r="E15" s="63"/>
      <c r="F15" s="63"/>
      <c r="G15" s="63"/>
      <c r="H15" s="63"/>
      <c r="I15" s="62" t="s">
        <v>35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2" t="s">
        <v>21</v>
      </c>
      <c r="AA15" s="63"/>
      <c r="AB15" s="64" t="s">
        <v>21</v>
      </c>
      <c r="AC15" s="65"/>
      <c r="AD15" s="65"/>
      <c r="AE15" s="65"/>
      <c r="AF15" s="65"/>
      <c r="AG15" s="64" t="s">
        <v>21</v>
      </c>
      <c r="AH15" s="65"/>
      <c r="AI15" s="65"/>
      <c r="AJ15" s="65"/>
      <c r="AK15" s="65"/>
      <c r="AL15" s="65"/>
      <c r="AM15" s="65"/>
      <c r="AN15" s="65"/>
      <c r="AO15" s="68">
        <f>SUM(AO16:AO17)</f>
        <v>0</v>
      </c>
      <c r="AP15" s="65"/>
      <c r="AQ15" s="65"/>
      <c r="AR15" s="65"/>
      <c r="AS15" s="65"/>
      <c r="AT15" s="65"/>
      <c r="AU15" s="65"/>
      <c r="AV15" s="65"/>
      <c r="AW15" s="68">
        <f>SUM(AW16:AW17)</f>
        <v>0</v>
      </c>
      <c r="AX15" s="65"/>
      <c r="AY15" s="65"/>
      <c r="AZ15" s="65"/>
      <c r="BA15" s="65"/>
      <c r="BB15" s="65"/>
      <c r="BC15" s="65"/>
      <c r="BD15" s="65"/>
    </row>
    <row r="16" spans="1:253" x14ac:dyDescent="0.2">
      <c r="A16" s="60" t="s">
        <v>36</v>
      </c>
      <c r="B16" s="61"/>
      <c r="C16" s="60" t="s">
        <v>37</v>
      </c>
      <c r="D16" s="61"/>
      <c r="E16" s="61"/>
      <c r="F16" s="61"/>
      <c r="G16" s="61"/>
      <c r="H16" s="61"/>
      <c r="I16" s="60" t="s">
        <v>38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0" t="s">
        <v>33</v>
      </c>
      <c r="AA16" s="61"/>
      <c r="AB16" s="54">
        <v>69.295500000000004</v>
      </c>
      <c r="AC16" s="55"/>
      <c r="AD16" s="55"/>
      <c r="AE16" s="55"/>
      <c r="AF16" s="55"/>
      <c r="AG16" s="54"/>
      <c r="AH16" s="55"/>
      <c r="AI16" s="55"/>
      <c r="AJ16" s="55"/>
      <c r="AK16" s="55"/>
      <c r="AL16" s="55"/>
      <c r="AM16" s="55"/>
      <c r="AN16" s="55"/>
      <c r="AO16" s="54">
        <f>IR16*AB16+IS16*AB16</f>
        <v>0</v>
      </c>
      <c r="AP16" s="55"/>
      <c r="AQ16" s="55"/>
      <c r="AR16" s="55"/>
      <c r="AS16" s="55"/>
      <c r="AT16" s="55"/>
      <c r="AU16" s="55"/>
      <c r="AV16" s="55"/>
      <c r="AW16" s="54">
        <f>0*AB16</f>
        <v>0</v>
      </c>
      <c r="AX16" s="55"/>
      <c r="AY16" s="55"/>
      <c r="AZ16" s="55"/>
      <c r="BA16" s="55"/>
      <c r="BB16" s="55"/>
      <c r="BC16" s="55"/>
      <c r="BD16" s="55"/>
      <c r="IR16" s="2">
        <f>AG16*0</f>
        <v>0</v>
      </c>
      <c r="IS16" s="2">
        <f>AG16*(1-0)</f>
        <v>0</v>
      </c>
    </row>
    <row r="17" spans="1:253" x14ac:dyDescent="0.2">
      <c r="A17" s="60" t="s">
        <v>39</v>
      </c>
      <c r="B17" s="61"/>
      <c r="C17" s="60" t="s">
        <v>40</v>
      </c>
      <c r="D17" s="61"/>
      <c r="E17" s="61"/>
      <c r="F17" s="61"/>
      <c r="G17" s="61"/>
      <c r="H17" s="61"/>
      <c r="I17" s="60" t="s">
        <v>41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0" t="s">
        <v>33</v>
      </c>
      <c r="AA17" s="61"/>
      <c r="AB17" s="54">
        <v>69.295500000000004</v>
      </c>
      <c r="AC17" s="55"/>
      <c r="AD17" s="55"/>
      <c r="AE17" s="55"/>
      <c r="AF17" s="55"/>
      <c r="AG17" s="54"/>
      <c r="AH17" s="55"/>
      <c r="AI17" s="55"/>
      <c r="AJ17" s="55"/>
      <c r="AK17" s="55"/>
      <c r="AL17" s="55"/>
      <c r="AM17" s="55"/>
      <c r="AN17" s="55"/>
      <c r="AO17" s="54">
        <f>IR17*AB17+IS17*AB17</f>
        <v>0</v>
      </c>
      <c r="AP17" s="55"/>
      <c r="AQ17" s="55"/>
      <c r="AR17" s="55"/>
      <c r="AS17" s="55"/>
      <c r="AT17" s="55"/>
      <c r="AU17" s="55"/>
      <c r="AV17" s="55"/>
      <c r="AW17" s="54">
        <f>0*AB17</f>
        <v>0</v>
      </c>
      <c r="AX17" s="55"/>
      <c r="AY17" s="55"/>
      <c r="AZ17" s="55"/>
      <c r="BA17" s="55"/>
      <c r="BB17" s="55"/>
      <c r="BC17" s="55"/>
      <c r="BD17" s="55"/>
      <c r="IR17" s="2">
        <f>AG17*0</f>
        <v>0</v>
      </c>
      <c r="IS17" s="2">
        <f>AG17*(1-0)</f>
        <v>0</v>
      </c>
    </row>
    <row r="18" spans="1:253" x14ac:dyDescent="0.2">
      <c r="A18" s="62" t="s">
        <v>21</v>
      </c>
      <c r="B18" s="63"/>
      <c r="C18" s="62" t="s">
        <v>42</v>
      </c>
      <c r="D18" s="63"/>
      <c r="E18" s="63"/>
      <c r="F18" s="63"/>
      <c r="G18" s="63"/>
      <c r="H18" s="63"/>
      <c r="I18" s="62" t="s">
        <v>43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2" t="s">
        <v>21</v>
      </c>
      <c r="AA18" s="63"/>
      <c r="AB18" s="64" t="s">
        <v>21</v>
      </c>
      <c r="AC18" s="65"/>
      <c r="AD18" s="65"/>
      <c r="AE18" s="65"/>
      <c r="AF18" s="65"/>
      <c r="AG18" s="64" t="s">
        <v>21</v>
      </c>
      <c r="AH18" s="65"/>
      <c r="AI18" s="65"/>
      <c r="AJ18" s="65"/>
      <c r="AK18" s="65"/>
      <c r="AL18" s="65"/>
      <c r="AM18" s="65"/>
      <c r="AN18" s="65"/>
      <c r="AO18" s="68">
        <f>SUM(AO19:AO21)</f>
        <v>0</v>
      </c>
      <c r="AP18" s="65"/>
      <c r="AQ18" s="65"/>
      <c r="AR18" s="65"/>
      <c r="AS18" s="65"/>
      <c r="AT18" s="65"/>
      <c r="AU18" s="65"/>
      <c r="AV18" s="65"/>
      <c r="AW18" s="68">
        <f>SUM(AW19:AW21)</f>
        <v>0</v>
      </c>
      <c r="AX18" s="65"/>
      <c r="AY18" s="65"/>
      <c r="AZ18" s="65"/>
      <c r="BA18" s="65"/>
      <c r="BB18" s="65"/>
      <c r="BC18" s="65"/>
      <c r="BD18" s="65"/>
    </row>
    <row r="19" spans="1:253" x14ac:dyDescent="0.2">
      <c r="A19" s="60" t="s">
        <v>44</v>
      </c>
      <c r="B19" s="61"/>
      <c r="C19" s="60" t="s">
        <v>45</v>
      </c>
      <c r="D19" s="61"/>
      <c r="E19" s="61"/>
      <c r="F19" s="61"/>
      <c r="G19" s="61"/>
      <c r="H19" s="61"/>
      <c r="I19" s="60" t="s">
        <v>46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0" t="s">
        <v>33</v>
      </c>
      <c r="AA19" s="61"/>
      <c r="AB19" s="54">
        <v>86.366630000000001</v>
      </c>
      <c r="AC19" s="55"/>
      <c r="AD19" s="55"/>
      <c r="AE19" s="55"/>
      <c r="AF19" s="55"/>
      <c r="AG19" s="54"/>
      <c r="AH19" s="55"/>
      <c r="AI19" s="55"/>
      <c r="AJ19" s="55"/>
      <c r="AK19" s="55"/>
      <c r="AL19" s="55"/>
      <c r="AM19" s="55"/>
      <c r="AN19" s="55"/>
      <c r="AO19" s="54">
        <f>IR19*AB19+IS19*AB19</f>
        <v>0</v>
      </c>
      <c r="AP19" s="55"/>
      <c r="AQ19" s="55"/>
      <c r="AR19" s="55"/>
      <c r="AS19" s="55"/>
      <c r="AT19" s="55"/>
      <c r="AU19" s="55"/>
      <c r="AV19" s="55"/>
      <c r="AW19" s="54">
        <f>0*AB19</f>
        <v>0</v>
      </c>
      <c r="AX19" s="55"/>
      <c r="AY19" s="55"/>
      <c r="AZ19" s="55"/>
      <c r="BA19" s="55"/>
      <c r="BB19" s="55"/>
      <c r="BC19" s="55"/>
      <c r="BD19" s="55"/>
      <c r="IR19" s="2">
        <f>AG19*0</f>
        <v>0</v>
      </c>
      <c r="IS19" s="2">
        <f>AG19*(1-0)</f>
        <v>0</v>
      </c>
    </row>
    <row r="20" spans="1:253" x14ac:dyDescent="0.2">
      <c r="A20" s="60" t="s">
        <v>47</v>
      </c>
      <c r="B20" s="61"/>
      <c r="C20" s="60" t="s">
        <v>48</v>
      </c>
      <c r="D20" s="61"/>
      <c r="E20" s="61"/>
      <c r="F20" s="61"/>
      <c r="G20" s="61"/>
      <c r="H20" s="61"/>
      <c r="I20" s="60" t="s">
        <v>49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0" t="s">
        <v>33</v>
      </c>
      <c r="AA20" s="61"/>
      <c r="AB20" s="54">
        <v>86.366630000000001</v>
      </c>
      <c r="AC20" s="55"/>
      <c r="AD20" s="55"/>
      <c r="AE20" s="55"/>
      <c r="AF20" s="55"/>
      <c r="AG20" s="54"/>
      <c r="AH20" s="55"/>
      <c r="AI20" s="55"/>
      <c r="AJ20" s="55"/>
      <c r="AK20" s="55"/>
      <c r="AL20" s="55"/>
      <c r="AM20" s="55"/>
      <c r="AN20" s="55"/>
      <c r="AO20" s="54">
        <f>IR20*AB20+IS20*AB20</f>
        <v>0</v>
      </c>
      <c r="AP20" s="55"/>
      <c r="AQ20" s="55"/>
      <c r="AR20" s="55"/>
      <c r="AS20" s="55"/>
      <c r="AT20" s="55"/>
      <c r="AU20" s="55"/>
      <c r="AV20" s="55"/>
      <c r="AW20" s="54">
        <f>0*AB20</f>
        <v>0</v>
      </c>
      <c r="AX20" s="55"/>
      <c r="AY20" s="55"/>
      <c r="AZ20" s="55"/>
      <c r="BA20" s="55"/>
      <c r="BB20" s="55"/>
      <c r="BC20" s="55"/>
      <c r="BD20" s="55"/>
      <c r="IR20" s="2">
        <f>AG20*0</f>
        <v>0</v>
      </c>
      <c r="IS20" s="2">
        <f>AG20*(1-0)</f>
        <v>0</v>
      </c>
    </row>
    <row r="21" spans="1:253" x14ac:dyDescent="0.2">
      <c r="A21" s="60" t="s">
        <v>50</v>
      </c>
      <c r="B21" s="61"/>
      <c r="C21" s="60" t="s">
        <v>51</v>
      </c>
      <c r="D21" s="61"/>
      <c r="E21" s="61"/>
      <c r="F21" s="61"/>
      <c r="G21" s="61"/>
      <c r="H21" s="61"/>
      <c r="I21" s="60" t="s">
        <v>52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0" t="s">
        <v>33</v>
      </c>
      <c r="AA21" s="61"/>
      <c r="AB21" s="54">
        <v>1122.7661900000001</v>
      </c>
      <c r="AC21" s="55"/>
      <c r="AD21" s="55"/>
      <c r="AE21" s="55"/>
      <c r="AF21" s="55"/>
      <c r="AG21" s="54"/>
      <c r="AH21" s="55"/>
      <c r="AI21" s="55"/>
      <c r="AJ21" s="55"/>
      <c r="AK21" s="55"/>
      <c r="AL21" s="55"/>
      <c r="AM21" s="55"/>
      <c r="AN21" s="55"/>
      <c r="AO21" s="54">
        <f>IR21*AB21+IS21*AB21</f>
        <v>0</v>
      </c>
      <c r="AP21" s="55"/>
      <c r="AQ21" s="55"/>
      <c r="AR21" s="55"/>
      <c r="AS21" s="55"/>
      <c r="AT21" s="55"/>
      <c r="AU21" s="55"/>
      <c r="AV21" s="55"/>
      <c r="AW21" s="54">
        <f>0*AB21</f>
        <v>0</v>
      </c>
      <c r="AX21" s="55"/>
      <c r="AY21" s="55"/>
      <c r="AZ21" s="55"/>
      <c r="BA21" s="55"/>
      <c r="BB21" s="55"/>
      <c r="BC21" s="55"/>
      <c r="BD21" s="55"/>
      <c r="IR21" s="2">
        <f>AG21*0</f>
        <v>0</v>
      </c>
      <c r="IS21" s="2">
        <f>AG21*(1-0)</f>
        <v>0</v>
      </c>
    </row>
    <row r="22" spans="1:253" x14ac:dyDescent="0.2">
      <c r="A22" s="62" t="s">
        <v>21</v>
      </c>
      <c r="B22" s="63"/>
      <c r="C22" s="62" t="s">
        <v>53</v>
      </c>
      <c r="D22" s="63"/>
      <c r="E22" s="63"/>
      <c r="F22" s="63"/>
      <c r="G22" s="63"/>
      <c r="H22" s="63"/>
      <c r="I22" s="62" t="s">
        <v>54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 t="s">
        <v>21</v>
      </c>
      <c r="AA22" s="63"/>
      <c r="AB22" s="64" t="s">
        <v>21</v>
      </c>
      <c r="AC22" s="65"/>
      <c r="AD22" s="65"/>
      <c r="AE22" s="65"/>
      <c r="AF22" s="65"/>
      <c r="AG22" s="64" t="s">
        <v>21</v>
      </c>
      <c r="AH22" s="65"/>
      <c r="AI22" s="65"/>
      <c r="AJ22" s="65"/>
      <c r="AK22" s="65"/>
      <c r="AL22" s="65"/>
      <c r="AM22" s="65"/>
      <c r="AN22" s="65"/>
      <c r="AO22" s="68">
        <f>SUM(AO23:AO30)</f>
        <v>0</v>
      </c>
      <c r="AP22" s="65"/>
      <c r="AQ22" s="65"/>
      <c r="AR22" s="65"/>
      <c r="AS22" s="65"/>
      <c r="AT22" s="65"/>
      <c r="AU22" s="65"/>
      <c r="AV22" s="65"/>
      <c r="AW22" s="68">
        <f>SUM(AW23:AW30)</f>
        <v>188.57159458939998</v>
      </c>
      <c r="AX22" s="65"/>
      <c r="AY22" s="65"/>
      <c r="AZ22" s="65"/>
      <c r="BA22" s="65"/>
      <c r="BB22" s="65"/>
      <c r="BC22" s="65"/>
      <c r="BD22" s="65"/>
    </row>
    <row r="23" spans="1:253" x14ac:dyDescent="0.2">
      <c r="A23" s="60" t="s">
        <v>55</v>
      </c>
      <c r="B23" s="61"/>
      <c r="C23" s="60" t="s">
        <v>56</v>
      </c>
      <c r="D23" s="61"/>
      <c r="E23" s="61"/>
      <c r="F23" s="61"/>
      <c r="G23" s="61"/>
      <c r="H23" s="61"/>
      <c r="I23" s="60" t="s">
        <v>57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0" t="s">
        <v>33</v>
      </c>
      <c r="AA23" s="61"/>
      <c r="AB23" s="54">
        <v>31.832000000000001</v>
      </c>
      <c r="AC23" s="55"/>
      <c r="AD23" s="55"/>
      <c r="AE23" s="55"/>
      <c r="AF23" s="55"/>
      <c r="AG23" s="54"/>
      <c r="AH23" s="55"/>
      <c r="AI23" s="55"/>
      <c r="AJ23" s="55"/>
      <c r="AK23" s="55"/>
      <c r="AL23" s="55"/>
      <c r="AM23" s="55"/>
      <c r="AN23" s="55"/>
      <c r="AO23" s="54">
        <f t="shared" ref="AO23:AO30" si="0">IR23*AB23+IS23*AB23</f>
        <v>0</v>
      </c>
      <c r="AP23" s="55"/>
      <c r="AQ23" s="55"/>
      <c r="AR23" s="55"/>
      <c r="AS23" s="55"/>
      <c r="AT23" s="55"/>
      <c r="AU23" s="55"/>
      <c r="AV23" s="55"/>
      <c r="AW23" s="54">
        <f>2.5856*AB23</f>
        <v>82.304819199999997</v>
      </c>
      <c r="AX23" s="55"/>
      <c r="AY23" s="55"/>
      <c r="AZ23" s="55"/>
      <c r="BA23" s="55"/>
      <c r="BB23" s="55"/>
      <c r="BC23" s="55"/>
      <c r="BD23" s="55"/>
      <c r="IR23" s="2">
        <f>AG23*0.922092243186583</f>
        <v>0</v>
      </c>
      <c r="IS23" s="2">
        <f>AG23*(1-0.922092243186583)</f>
        <v>0</v>
      </c>
    </row>
    <row r="24" spans="1:253" x14ac:dyDescent="0.2">
      <c r="A24" s="60" t="s">
        <v>58</v>
      </c>
      <c r="B24" s="61"/>
      <c r="C24" s="60" t="s">
        <v>59</v>
      </c>
      <c r="D24" s="61"/>
      <c r="E24" s="61"/>
      <c r="F24" s="61"/>
      <c r="G24" s="61"/>
      <c r="H24" s="61"/>
      <c r="I24" s="60" t="s">
        <v>60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0" t="s">
        <v>33</v>
      </c>
      <c r="AA24" s="61"/>
      <c r="AB24" s="54">
        <v>18.331499999999998</v>
      </c>
      <c r="AC24" s="55"/>
      <c r="AD24" s="55"/>
      <c r="AE24" s="55"/>
      <c r="AF24" s="55"/>
      <c r="AG24" s="54"/>
      <c r="AH24" s="55"/>
      <c r="AI24" s="55"/>
      <c r="AJ24" s="55"/>
      <c r="AK24" s="55"/>
      <c r="AL24" s="55"/>
      <c r="AM24" s="55"/>
      <c r="AN24" s="55"/>
      <c r="AO24" s="54">
        <f t="shared" si="0"/>
        <v>0</v>
      </c>
      <c r="AP24" s="55"/>
      <c r="AQ24" s="55"/>
      <c r="AR24" s="55"/>
      <c r="AS24" s="55"/>
      <c r="AT24" s="55"/>
      <c r="AU24" s="55"/>
      <c r="AV24" s="55"/>
      <c r="AW24" s="54">
        <f>2.16*AB24</f>
        <v>39.596040000000002</v>
      </c>
      <c r="AX24" s="55"/>
      <c r="AY24" s="55"/>
      <c r="AZ24" s="55"/>
      <c r="BA24" s="55"/>
      <c r="BB24" s="55"/>
      <c r="BC24" s="55"/>
      <c r="BD24" s="55"/>
      <c r="IR24" s="2">
        <f>AG24*0.663636363636364</f>
        <v>0</v>
      </c>
      <c r="IS24" s="2">
        <f>AG24*(1-0.663636363636364)</f>
        <v>0</v>
      </c>
    </row>
    <row r="25" spans="1:253" x14ac:dyDescent="0.2">
      <c r="A25" s="60" t="s">
        <v>61</v>
      </c>
      <c r="B25" s="61"/>
      <c r="C25" s="60" t="s">
        <v>62</v>
      </c>
      <c r="D25" s="61"/>
      <c r="E25" s="61"/>
      <c r="F25" s="61"/>
      <c r="G25" s="61"/>
      <c r="H25" s="61"/>
      <c r="I25" s="60" t="s">
        <v>63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0" t="s">
        <v>64</v>
      </c>
      <c r="AA25" s="61"/>
      <c r="AB25" s="54">
        <v>37.89</v>
      </c>
      <c r="AC25" s="55"/>
      <c r="AD25" s="55"/>
      <c r="AE25" s="55"/>
      <c r="AF25" s="55"/>
      <c r="AG25" s="54"/>
      <c r="AH25" s="55"/>
      <c r="AI25" s="55"/>
      <c r="AJ25" s="55"/>
      <c r="AK25" s="55"/>
      <c r="AL25" s="55"/>
      <c r="AM25" s="55"/>
      <c r="AN25" s="55"/>
      <c r="AO25" s="54">
        <f t="shared" si="0"/>
        <v>0</v>
      </c>
      <c r="AP25" s="55"/>
      <c r="AQ25" s="55"/>
      <c r="AR25" s="55"/>
      <c r="AS25" s="55"/>
      <c r="AT25" s="55"/>
      <c r="AU25" s="55"/>
      <c r="AV25" s="55"/>
      <c r="AW25" s="54">
        <f>0.74*AB25</f>
        <v>28.038599999999999</v>
      </c>
      <c r="AX25" s="55"/>
      <c r="AY25" s="55"/>
      <c r="AZ25" s="55"/>
      <c r="BA25" s="55"/>
      <c r="BB25" s="55"/>
      <c r="BC25" s="55"/>
      <c r="BD25" s="55"/>
      <c r="IR25" s="2">
        <f>AG25*0.654678899082569</f>
        <v>0</v>
      </c>
      <c r="IS25" s="2">
        <f>AG25*(1-0.654678899082569)</f>
        <v>0</v>
      </c>
    </row>
    <row r="26" spans="1:253" x14ac:dyDescent="0.2">
      <c r="A26" s="60" t="s">
        <v>65</v>
      </c>
      <c r="B26" s="61"/>
      <c r="C26" s="60" t="s">
        <v>66</v>
      </c>
      <c r="D26" s="61"/>
      <c r="E26" s="61"/>
      <c r="F26" s="61"/>
      <c r="G26" s="61"/>
      <c r="H26" s="61"/>
      <c r="I26" s="60" t="s">
        <v>67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0" t="s">
        <v>27</v>
      </c>
      <c r="AA26" s="61"/>
      <c r="AB26" s="54">
        <v>0.75839999999999996</v>
      </c>
      <c r="AC26" s="55"/>
      <c r="AD26" s="55"/>
      <c r="AE26" s="55"/>
      <c r="AF26" s="55"/>
      <c r="AG26" s="54"/>
      <c r="AH26" s="55"/>
      <c r="AI26" s="55"/>
      <c r="AJ26" s="55"/>
      <c r="AK26" s="55"/>
      <c r="AL26" s="55"/>
      <c r="AM26" s="55"/>
      <c r="AN26" s="55"/>
      <c r="AO26" s="54">
        <f t="shared" si="0"/>
        <v>0</v>
      </c>
      <c r="AP26" s="55"/>
      <c r="AQ26" s="55"/>
      <c r="AR26" s="55"/>
      <c r="AS26" s="55"/>
      <c r="AT26" s="55"/>
      <c r="AU26" s="55"/>
      <c r="AV26" s="55"/>
      <c r="AW26" s="54">
        <f>1.05439*AB26</f>
        <v>0.79964937599999997</v>
      </c>
      <c r="AX26" s="55"/>
      <c r="AY26" s="55"/>
      <c r="AZ26" s="55"/>
      <c r="BA26" s="55"/>
      <c r="BB26" s="55"/>
      <c r="BC26" s="55"/>
      <c r="BD26" s="55"/>
      <c r="IR26" s="2">
        <f>AG26*0.812251939187093</f>
        <v>0</v>
      </c>
      <c r="IS26" s="2">
        <f>AG26*(1-0.812251939187093)</f>
        <v>0</v>
      </c>
    </row>
    <row r="27" spans="1:253" x14ac:dyDescent="0.2">
      <c r="A27" s="60" t="s">
        <v>28</v>
      </c>
      <c r="B27" s="61"/>
      <c r="C27" s="60" t="s">
        <v>68</v>
      </c>
      <c r="D27" s="61"/>
      <c r="E27" s="61"/>
      <c r="F27" s="61"/>
      <c r="G27" s="61"/>
      <c r="H27" s="61"/>
      <c r="I27" s="60" t="s">
        <v>69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0" t="s">
        <v>27</v>
      </c>
      <c r="AA27" s="61"/>
      <c r="AB27" s="54">
        <v>0.62046000000000001</v>
      </c>
      <c r="AC27" s="55"/>
      <c r="AD27" s="55"/>
      <c r="AE27" s="55"/>
      <c r="AF27" s="55"/>
      <c r="AG27" s="54"/>
      <c r="AH27" s="55"/>
      <c r="AI27" s="55"/>
      <c r="AJ27" s="55"/>
      <c r="AK27" s="55"/>
      <c r="AL27" s="55"/>
      <c r="AM27" s="55"/>
      <c r="AN27" s="55"/>
      <c r="AO27" s="54">
        <f t="shared" si="0"/>
        <v>0</v>
      </c>
      <c r="AP27" s="55"/>
      <c r="AQ27" s="55"/>
      <c r="AR27" s="55"/>
      <c r="AS27" s="55"/>
      <c r="AT27" s="55"/>
      <c r="AU27" s="55"/>
      <c r="AV27" s="55"/>
      <c r="AW27" s="54">
        <f>1.00349*AB27</f>
        <v>0.6226254054</v>
      </c>
      <c r="AX27" s="55"/>
      <c r="AY27" s="55"/>
      <c r="AZ27" s="55"/>
      <c r="BA27" s="55"/>
      <c r="BB27" s="55"/>
      <c r="BC27" s="55"/>
      <c r="BD27" s="55"/>
      <c r="IR27" s="2">
        <f>AG27*0.514337445175439</f>
        <v>0</v>
      </c>
      <c r="IS27" s="2">
        <f>AG27*(1-0.514337445175439)</f>
        <v>0</v>
      </c>
    </row>
    <row r="28" spans="1:253" x14ac:dyDescent="0.2">
      <c r="A28" s="60" t="s">
        <v>34</v>
      </c>
      <c r="B28" s="61"/>
      <c r="C28" s="60" t="s">
        <v>70</v>
      </c>
      <c r="D28" s="61"/>
      <c r="E28" s="61"/>
      <c r="F28" s="61"/>
      <c r="G28" s="61"/>
      <c r="H28" s="61"/>
      <c r="I28" s="60" t="s">
        <v>71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0" t="s">
        <v>33</v>
      </c>
      <c r="AA28" s="61"/>
      <c r="AB28" s="54">
        <v>14.21838</v>
      </c>
      <c r="AC28" s="55"/>
      <c r="AD28" s="55"/>
      <c r="AE28" s="55"/>
      <c r="AF28" s="55"/>
      <c r="AG28" s="54"/>
      <c r="AH28" s="55"/>
      <c r="AI28" s="55"/>
      <c r="AJ28" s="55"/>
      <c r="AK28" s="55"/>
      <c r="AL28" s="55"/>
      <c r="AM28" s="55"/>
      <c r="AN28" s="55"/>
      <c r="AO28" s="54">
        <f t="shared" si="0"/>
        <v>0</v>
      </c>
      <c r="AP28" s="55"/>
      <c r="AQ28" s="55"/>
      <c r="AR28" s="55"/>
      <c r="AS28" s="55"/>
      <c r="AT28" s="55"/>
      <c r="AU28" s="55"/>
      <c r="AV28" s="55"/>
      <c r="AW28" s="54">
        <f>2.5856*AB28</f>
        <v>36.763043327999995</v>
      </c>
      <c r="AX28" s="55"/>
      <c r="AY28" s="55"/>
      <c r="AZ28" s="55"/>
      <c r="BA28" s="55"/>
      <c r="BB28" s="55"/>
      <c r="BC28" s="55"/>
      <c r="BD28" s="55"/>
      <c r="IR28" s="2">
        <f>AG28*0.922092243186583</f>
        <v>0</v>
      </c>
      <c r="IS28" s="2">
        <f>AG28*(1-0.922092243186583)</f>
        <v>0</v>
      </c>
    </row>
    <row r="29" spans="1:253" x14ac:dyDescent="0.2">
      <c r="A29" s="60" t="s">
        <v>72</v>
      </c>
      <c r="B29" s="61"/>
      <c r="C29" s="60" t="s">
        <v>73</v>
      </c>
      <c r="D29" s="61"/>
      <c r="E29" s="61"/>
      <c r="F29" s="61"/>
      <c r="G29" s="61"/>
      <c r="H29" s="61"/>
      <c r="I29" s="60" t="s">
        <v>74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0" t="s">
        <v>64</v>
      </c>
      <c r="AA29" s="61"/>
      <c r="AB29" s="54">
        <v>11.398400000000001</v>
      </c>
      <c r="AC29" s="55"/>
      <c r="AD29" s="55"/>
      <c r="AE29" s="55"/>
      <c r="AF29" s="55"/>
      <c r="AG29" s="54"/>
      <c r="AH29" s="55"/>
      <c r="AI29" s="55"/>
      <c r="AJ29" s="55"/>
      <c r="AK29" s="55"/>
      <c r="AL29" s="55"/>
      <c r="AM29" s="55"/>
      <c r="AN29" s="55"/>
      <c r="AO29" s="54">
        <f t="shared" si="0"/>
        <v>0</v>
      </c>
      <c r="AP29" s="55"/>
      <c r="AQ29" s="55"/>
      <c r="AR29" s="55"/>
      <c r="AS29" s="55"/>
      <c r="AT29" s="55"/>
      <c r="AU29" s="55"/>
      <c r="AV29" s="55"/>
      <c r="AW29" s="54">
        <f>0.0392*AB29</f>
        <v>0.44681727999999998</v>
      </c>
      <c r="AX29" s="55"/>
      <c r="AY29" s="55"/>
      <c r="AZ29" s="55"/>
      <c r="BA29" s="55"/>
      <c r="BB29" s="55"/>
      <c r="BC29" s="55"/>
      <c r="BD29" s="55"/>
      <c r="IR29" s="2">
        <f>AG29*0.232867435158501</f>
        <v>0</v>
      </c>
      <c r="IS29" s="2">
        <f>AG29*(1-0.232867435158501)</f>
        <v>0</v>
      </c>
    </row>
    <row r="30" spans="1:253" x14ac:dyDescent="0.2">
      <c r="A30" s="60" t="s">
        <v>75</v>
      </c>
      <c r="B30" s="61"/>
      <c r="C30" s="60" t="s">
        <v>76</v>
      </c>
      <c r="D30" s="61"/>
      <c r="E30" s="61"/>
      <c r="F30" s="61"/>
      <c r="G30" s="61"/>
      <c r="H30" s="61"/>
      <c r="I30" s="60" t="s">
        <v>77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0" t="s">
        <v>64</v>
      </c>
      <c r="AA30" s="61"/>
      <c r="AB30" s="54">
        <v>11.398400000000001</v>
      </c>
      <c r="AC30" s="55"/>
      <c r="AD30" s="55"/>
      <c r="AE30" s="55"/>
      <c r="AF30" s="55"/>
      <c r="AG30" s="54"/>
      <c r="AH30" s="55"/>
      <c r="AI30" s="55"/>
      <c r="AJ30" s="55"/>
      <c r="AK30" s="55"/>
      <c r="AL30" s="55"/>
      <c r="AM30" s="55"/>
      <c r="AN30" s="55"/>
      <c r="AO30" s="54">
        <f t="shared" si="0"/>
        <v>0</v>
      </c>
      <c r="AP30" s="55"/>
      <c r="AQ30" s="55"/>
      <c r="AR30" s="55"/>
      <c r="AS30" s="55"/>
      <c r="AT30" s="55"/>
      <c r="AU30" s="55"/>
      <c r="AV30" s="55"/>
      <c r="AW30" s="54">
        <f>0*AB30</f>
        <v>0</v>
      </c>
      <c r="AX30" s="55"/>
      <c r="AY30" s="55"/>
      <c r="AZ30" s="55"/>
      <c r="BA30" s="55"/>
      <c r="BB30" s="55"/>
      <c r="BC30" s="55"/>
      <c r="BD30" s="55"/>
      <c r="IR30" s="2">
        <f>AG30*0</f>
        <v>0</v>
      </c>
      <c r="IS30" s="2">
        <f>AG30*(1-0)</f>
        <v>0</v>
      </c>
    </row>
    <row r="31" spans="1:253" x14ac:dyDescent="0.2">
      <c r="A31" s="62" t="s">
        <v>21</v>
      </c>
      <c r="B31" s="63"/>
      <c r="C31" s="62" t="s">
        <v>78</v>
      </c>
      <c r="D31" s="63"/>
      <c r="E31" s="63"/>
      <c r="F31" s="63"/>
      <c r="G31" s="63"/>
      <c r="H31" s="63"/>
      <c r="I31" s="62" t="s">
        <v>79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2" t="s">
        <v>21</v>
      </c>
      <c r="AA31" s="63"/>
      <c r="AB31" s="64" t="s">
        <v>21</v>
      </c>
      <c r="AC31" s="65"/>
      <c r="AD31" s="65"/>
      <c r="AE31" s="65"/>
      <c r="AF31" s="65"/>
      <c r="AG31" s="64" t="s">
        <v>21</v>
      </c>
      <c r="AH31" s="65"/>
      <c r="AI31" s="65"/>
      <c r="AJ31" s="65"/>
      <c r="AK31" s="65"/>
      <c r="AL31" s="65"/>
      <c r="AM31" s="65"/>
      <c r="AN31" s="65"/>
      <c r="AO31" s="66">
        <f>SUM(AO32:AO32)</f>
        <v>0</v>
      </c>
      <c r="AP31" s="67"/>
      <c r="AQ31" s="67"/>
      <c r="AR31" s="67"/>
      <c r="AS31" s="67"/>
      <c r="AT31" s="67"/>
      <c r="AU31" s="67"/>
      <c r="AV31" s="67"/>
      <c r="AW31" s="66">
        <f>SUM(AW32:AW32)</f>
        <v>0</v>
      </c>
      <c r="AX31" s="67"/>
      <c r="AY31" s="67"/>
      <c r="AZ31" s="67"/>
      <c r="BA31" s="67"/>
      <c r="BB31" s="67"/>
      <c r="BC31" s="67"/>
      <c r="BD31" s="67"/>
    </row>
    <row r="32" spans="1:253" x14ac:dyDescent="0.2">
      <c r="A32" s="60" t="s">
        <v>42</v>
      </c>
      <c r="B32" s="61"/>
      <c r="C32" s="60" t="s">
        <v>80</v>
      </c>
      <c r="D32" s="61"/>
      <c r="E32" s="61"/>
      <c r="F32" s="61"/>
      <c r="G32" s="61"/>
      <c r="H32" s="61"/>
      <c r="I32" s="60" t="s">
        <v>81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0" t="s">
        <v>82</v>
      </c>
      <c r="AA32" s="61"/>
      <c r="AB32" s="54">
        <v>500</v>
      </c>
      <c r="AC32" s="55"/>
      <c r="AD32" s="55"/>
      <c r="AE32" s="55"/>
      <c r="AF32" s="55"/>
      <c r="AG32" s="54"/>
      <c r="AH32" s="55"/>
      <c r="AI32" s="55"/>
      <c r="AJ32" s="55"/>
      <c r="AK32" s="55"/>
      <c r="AL32" s="55"/>
      <c r="AM32" s="55"/>
      <c r="AN32" s="55"/>
      <c r="AO32" s="54">
        <f>IR32*AB32+IS32*AB32</f>
        <v>0</v>
      </c>
      <c r="AP32" s="55"/>
      <c r="AQ32" s="55"/>
      <c r="AR32" s="55"/>
      <c r="AS32" s="55"/>
      <c r="AT32" s="55"/>
      <c r="AU32" s="55"/>
      <c r="AV32" s="55"/>
      <c r="AW32" s="54">
        <f>0*AB32</f>
        <v>0</v>
      </c>
      <c r="AX32" s="55"/>
      <c r="AY32" s="55"/>
      <c r="AZ32" s="55"/>
      <c r="BA32" s="55"/>
      <c r="BB32" s="55"/>
      <c r="BC32" s="55"/>
      <c r="BD32" s="55"/>
      <c r="IR32" s="2">
        <f>AG32*0</f>
        <v>0</v>
      </c>
      <c r="IS32" s="2">
        <f>AG32*(1-0)</f>
        <v>0</v>
      </c>
    </row>
    <row r="34" spans="33:48" x14ac:dyDescent="0.2">
      <c r="AG34" s="56" t="s">
        <v>83</v>
      </c>
      <c r="AH34" s="57"/>
      <c r="AI34" s="57"/>
      <c r="AJ34" s="57"/>
      <c r="AK34" s="57"/>
      <c r="AL34" s="57"/>
      <c r="AM34" s="57"/>
      <c r="AN34" s="57"/>
      <c r="AO34" s="58">
        <f>AO11+AO13+AO15+AO18+AO22+AO31</f>
        <v>0</v>
      </c>
      <c r="AP34" s="59"/>
      <c r="AQ34" s="59"/>
      <c r="AR34" s="59"/>
      <c r="AS34" s="59"/>
      <c r="AT34" s="59"/>
      <c r="AU34" s="59"/>
      <c r="AV34" s="59"/>
    </row>
  </sheetData>
  <mergeCells count="211">
    <mergeCell ref="A1:BD1"/>
    <mergeCell ref="A2:E3"/>
    <mergeCell ref="F2:AI3"/>
    <mergeCell ref="AJ2:AP3"/>
    <mergeCell ref="AQ2:AV3"/>
    <mergeCell ref="AW2:BC3"/>
    <mergeCell ref="BD2:BD3"/>
    <mergeCell ref="A4:E5"/>
    <mergeCell ref="F4:AI5"/>
    <mergeCell ref="AJ4:AP5"/>
    <mergeCell ref="AQ4:AV5"/>
    <mergeCell ref="AW4:BC5"/>
    <mergeCell ref="BD4:BD5"/>
    <mergeCell ref="A6:E7"/>
    <mergeCell ref="F6:AI7"/>
    <mergeCell ref="AJ6:AP7"/>
    <mergeCell ref="AQ6:AV7"/>
    <mergeCell ref="AW6:BC7"/>
    <mergeCell ref="BD6:BD7"/>
    <mergeCell ref="A8:E9"/>
    <mergeCell ref="F8:AI9"/>
    <mergeCell ref="AJ8:AP9"/>
    <mergeCell ref="AQ8:AV9"/>
    <mergeCell ref="AW8:BC9"/>
    <mergeCell ref="BD8:BD9"/>
    <mergeCell ref="A10:B10"/>
    <mergeCell ref="C10:H10"/>
    <mergeCell ref="I10:Y10"/>
    <mergeCell ref="Z10:AA10"/>
    <mergeCell ref="AB10:AF10"/>
    <mergeCell ref="AG10:AN10"/>
    <mergeCell ref="AO10:AV10"/>
    <mergeCell ref="AW10:BD10"/>
    <mergeCell ref="A11:B11"/>
    <mergeCell ref="C11:H11"/>
    <mergeCell ref="I11:Y11"/>
    <mergeCell ref="Z11:AA11"/>
    <mergeCell ref="AB11:AF11"/>
    <mergeCell ref="AG11:AN11"/>
    <mergeCell ref="AO11:AV11"/>
    <mergeCell ref="AW11:BD11"/>
    <mergeCell ref="A12:B12"/>
    <mergeCell ref="C12:H12"/>
    <mergeCell ref="I12:Y12"/>
    <mergeCell ref="Z12:AA12"/>
    <mergeCell ref="AB12:AF12"/>
    <mergeCell ref="AG12:AN12"/>
    <mergeCell ref="AO12:AV12"/>
    <mergeCell ref="AW12:BD12"/>
    <mergeCell ref="A13:B13"/>
    <mergeCell ref="C13:H13"/>
    <mergeCell ref="I13:Y13"/>
    <mergeCell ref="Z13:AA13"/>
    <mergeCell ref="AB13:AF13"/>
    <mergeCell ref="AG13:AN13"/>
    <mergeCell ref="AO13:AV13"/>
    <mergeCell ref="AW13:BD13"/>
    <mergeCell ref="A14:B14"/>
    <mergeCell ref="C14:H14"/>
    <mergeCell ref="I14:Y14"/>
    <mergeCell ref="Z14:AA14"/>
    <mergeCell ref="AB14:AF14"/>
    <mergeCell ref="AG14:AN14"/>
    <mergeCell ref="AO14:AV14"/>
    <mergeCell ref="AW14:BD14"/>
    <mergeCell ref="A15:B15"/>
    <mergeCell ref="C15:H15"/>
    <mergeCell ref="I15:Y15"/>
    <mergeCell ref="Z15:AA15"/>
    <mergeCell ref="AB15:AF15"/>
    <mergeCell ref="AG15:AN15"/>
    <mergeCell ref="AO15:AV15"/>
    <mergeCell ref="AW15:BD15"/>
    <mergeCell ref="A16:B16"/>
    <mergeCell ref="C16:H16"/>
    <mergeCell ref="I16:Y16"/>
    <mergeCell ref="Z16:AA16"/>
    <mergeCell ref="AB16:AF16"/>
    <mergeCell ref="AG16:AN16"/>
    <mergeCell ref="AO16:AV16"/>
    <mergeCell ref="AW16:BD16"/>
    <mergeCell ref="A17:B17"/>
    <mergeCell ref="C17:H17"/>
    <mergeCell ref="I17:Y17"/>
    <mergeCell ref="Z17:AA17"/>
    <mergeCell ref="AB17:AF17"/>
    <mergeCell ref="AG17:AN17"/>
    <mergeCell ref="AO17:AV17"/>
    <mergeCell ref="AW17:BD17"/>
    <mergeCell ref="A18:B18"/>
    <mergeCell ref="C18:H18"/>
    <mergeCell ref="I18:Y18"/>
    <mergeCell ref="Z18:AA18"/>
    <mergeCell ref="AB18:AF18"/>
    <mergeCell ref="AG18:AN18"/>
    <mergeCell ref="AO18:AV18"/>
    <mergeCell ref="AW18:BD18"/>
    <mergeCell ref="A19:B19"/>
    <mergeCell ref="C19:H19"/>
    <mergeCell ref="I19:Y19"/>
    <mergeCell ref="Z19:AA19"/>
    <mergeCell ref="AB19:AF19"/>
    <mergeCell ref="AG19:AN19"/>
    <mergeCell ref="AO19:AV19"/>
    <mergeCell ref="AW19:BD19"/>
    <mergeCell ref="A20:B20"/>
    <mergeCell ref="C20:H20"/>
    <mergeCell ref="I20:Y20"/>
    <mergeCell ref="Z20:AA20"/>
    <mergeCell ref="AB20:AF20"/>
    <mergeCell ref="AG20:AN20"/>
    <mergeCell ref="AO20:AV20"/>
    <mergeCell ref="AW20:BD20"/>
    <mergeCell ref="A21:B21"/>
    <mergeCell ref="C21:H21"/>
    <mergeCell ref="I21:Y21"/>
    <mergeCell ref="Z21:AA21"/>
    <mergeCell ref="AB21:AF21"/>
    <mergeCell ref="AG21:AN21"/>
    <mergeCell ref="AO21:AV21"/>
    <mergeCell ref="AW21:BD21"/>
    <mergeCell ref="A22:B22"/>
    <mergeCell ref="C22:H22"/>
    <mergeCell ref="I22:Y22"/>
    <mergeCell ref="Z22:AA22"/>
    <mergeCell ref="AB22:AF22"/>
    <mergeCell ref="AG22:AN22"/>
    <mergeCell ref="AO22:AV22"/>
    <mergeCell ref="AW22:BD22"/>
    <mergeCell ref="A23:B23"/>
    <mergeCell ref="C23:H23"/>
    <mergeCell ref="I23:Y23"/>
    <mergeCell ref="Z23:AA23"/>
    <mergeCell ref="AB23:AF23"/>
    <mergeCell ref="AG23:AN23"/>
    <mergeCell ref="AO23:AV23"/>
    <mergeCell ref="AW23:BD23"/>
    <mergeCell ref="A24:B24"/>
    <mergeCell ref="C24:H24"/>
    <mergeCell ref="I24:Y24"/>
    <mergeCell ref="Z24:AA24"/>
    <mergeCell ref="AB24:AF24"/>
    <mergeCell ref="AG24:AN24"/>
    <mergeCell ref="AO24:AV24"/>
    <mergeCell ref="AW24:BD24"/>
    <mergeCell ref="A25:B25"/>
    <mergeCell ref="C25:H25"/>
    <mergeCell ref="I25:Y25"/>
    <mergeCell ref="Z25:AA25"/>
    <mergeCell ref="AB25:AF25"/>
    <mergeCell ref="AG25:AN25"/>
    <mergeCell ref="AO25:AV25"/>
    <mergeCell ref="AW25:BD25"/>
    <mergeCell ref="A26:B26"/>
    <mergeCell ref="C26:H26"/>
    <mergeCell ref="I26:Y26"/>
    <mergeCell ref="Z26:AA26"/>
    <mergeCell ref="AB26:AF26"/>
    <mergeCell ref="AG26:AN26"/>
    <mergeCell ref="AO26:AV26"/>
    <mergeCell ref="AW26:BD26"/>
    <mergeCell ref="A27:B27"/>
    <mergeCell ref="C27:H27"/>
    <mergeCell ref="I27:Y27"/>
    <mergeCell ref="Z27:AA27"/>
    <mergeCell ref="AB27:AF27"/>
    <mergeCell ref="AG27:AN27"/>
    <mergeCell ref="AO27:AV27"/>
    <mergeCell ref="AW27:BD27"/>
    <mergeCell ref="A28:B28"/>
    <mergeCell ref="C28:H28"/>
    <mergeCell ref="I28:Y28"/>
    <mergeCell ref="Z28:AA28"/>
    <mergeCell ref="AB28:AF28"/>
    <mergeCell ref="AG28:AN28"/>
    <mergeCell ref="AO28:AV28"/>
    <mergeCell ref="AW28:BD28"/>
    <mergeCell ref="A29:B29"/>
    <mergeCell ref="C29:H29"/>
    <mergeCell ref="I29:Y29"/>
    <mergeCell ref="Z29:AA29"/>
    <mergeCell ref="AB29:AF29"/>
    <mergeCell ref="AG29:AN29"/>
    <mergeCell ref="AO29:AV29"/>
    <mergeCell ref="AW29:BD29"/>
    <mergeCell ref="A30:B30"/>
    <mergeCell ref="C30:H30"/>
    <mergeCell ref="I30:Y30"/>
    <mergeCell ref="Z30:AA30"/>
    <mergeCell ref="AB30:AF30"/>
    <mergeCell ref="AG30:AN30"/>
    <mergeCell ref="AO30:AV30"/>
    <mergeCell ref="AW30:BD30"/>
    <mergeCell ref="A31:B31"/>
    <mergeCell ref="C31:H31"/>
    <mergeCell ref="I31:Y31"/>
    <mergeCell ref="Z31:AA31"/>
    <mergeCell ref="AB31:AF31"/>
    <mergeCell ref="AG31:AN31"/>
    <mergeCell ref="AO31:AV31"/>
    <mergeCell ref="AW31:BD31"/>
    <mergeCell ref="AO32:AV32"/>
    <mergeCell ref="AW32:BD32"/>
    <mergeCell ref="AG34:AN34"/>
    <mergeCell ref="AO34:AV34"/>
    <mergeCell ref="A32:B32"/>
    <mergeCell ref="C32:H32"/>
    <mergeCell ref="I32:Y32"/>
    <mergeCell ref="Z32:AA32"/>
    <mergeCell ref="AB32:AF32"/>
    <mergeCell ref="AG32:AN32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3.150000000000006" customHeight="1" x14ac:dyDescent="0.2">
      <c r="A1" s="50"/>
      <c r="B1" s="3"/>
      <c r="C1" s="117" t="s">
        <v>163</v>
      </c>
      <c r="D1" s="89"/>
      <c r="E1" s="89"/>
      <c r="F1" s="89"/>
      <c r="G1" s="89"/>
      <c r="H1" s="89"/>
      <c r="I1" s="89"/>
    </row>
    <row r="2" spans="1:10" x14ac:dyDescent="0.2">
      <c r="A2" s="90" t="s">
        <v>1</v>
      </c>
      <c r="B2" s="91"/>
      <c r="C2" s="92" t="str">
        <f>'Stavební rozpočet'!D2</f>
        <v>Novostavba Garáže</v>
      </c>
      <c r="D2" s="93"/>
      <c r="E2" s="95" t="s">
        <v>3</v>
      </c>
      <c r="F2" s="95" t="str">
        <f>'Stavební rozpočet'!J2</f>
        <v xml:space="preserve"> </v>
      </c>
      <c r="G2" s="91"/>
      <c r="H2" s="95" t="s">
        <v>84</v>
      </c>
      <c r="I2" s="118"/>
      <c r="J2" s="1"/>
    </row>
    <row r="3" spans="1:10" x14ac:dyDescent="0.2">
      <c r="A3" s="80"/>
      <c r="B3" s="79"/>
      <c r="C3" s="57"/>
      <c r="D3" s="57"/>
      <c r="E3" s="79"/>
      <c r="F3" s="79"/>
      <c r="G3" s="79"/>
      <c r="H3" s="79"/>
      <c r="I3" s="84"/>
      <c r="J3" s="1"/>
    </row>
    <row r="4" spans="1:10" x14ac:dyDescent="0.2">
      <c r="A4" s="78" t="s">
        <v>4</v>
      </c>
      <c r="B4" s="79"/>
      <c r="C4" s="81" t="str">
        <f>'Stavební rozpočet'!D4</f>
        <v xml:space="preserve"> </v>
      </c>
      <c r="D4" s="79"/>
      <c r="E4" s="81" t="s">
        <v>6</v>
      </c>
      <c r="F4" s="81" t="str">
        <f>'Stavební rozpočet'!J4</f>
        <v xml:space="preserve"> </v>
      </c>
      <c r="G4" s="79"/>
      <c r="H4" s="81" t="s">
        <v>84</v>
      </c>
      <c r="I4" s="116"/>
      <c r="J4" s="1"/>
    </row>
    <row r="5" spans="1:10" x14ac:dyDescent="0.2">
      <c r="A5" s="80"/>
      <c r="B5" s="79"/>
      <c r="C5" s="79"/>
      <c r="D5" s="79"/>
      <c r="E5" s="79"/>
      <c r="F5" s="79"/>
      <c r="G5" s="79"/>
      <c r="H5" s="79"/>
      <c r="I5" s="84"/>
      <c r="J5" s="1"/>
    </row>
    <row r="6" spans="1:10" x14ac:dyDescent="0.2">
      <c r="A6" s="78" t="s">
        <v>7</v>
      </c>
      <c r="B6" s="79"/>
      <c r="C6" s="81" t="str">
        <f>'Stavební rozpočet'!D6</f>
        <v>Vestec č. par. 8/2</v>
      </c>
      <c r="D6" s="79"/>
      <c r="E6" s="81" t="s">
        <v>9</v>
      </c>
      <c r="F6" s="81" t="str">
        <f>'Stavební rozpočet'!J6</f>
        <v xml:space="preserve"> </v>
      </c>
      <c r="G6" s="79"/>
      <c r="H6" s="81" t="s">
        <v>84</v>
      </c>
      <c r="I6" s="116"/>
      <c r="J6" s="1"/>
    </row>
    <row r="7" spans="1:10" x14ac:dyDescent="0.2">
      <c r="A7" s="80"/>
      <c r="B7" s="79"/>
      <c r="C7" s="79"/>
      <c r="D7" s="79"/>
      <c r="E7" s="79"/>
      <c r="F7" s="79"/>
      <c r="G7" s="79"/>
      <c r="H7" s="79"/>
      <c r="I7" s="84"/>
      <c r="J7" s="1"/>
    </row>
    <row r="8" spans="1:10" x14ac:dyDescent="0.2">
      <c r="A8" s="78" t="s">
        <v>5</v>
      </c>
      <c r="B8" s="79"/>
      <c r="C8" s="81" t="str">
        <f>'Stavební rozpočet'!G4</f>
        <v xml:space="preserve"> </v>
      </c>
      <c r="D8" s="79"/>
      <c r="E8" s="81" t="s">
        <v>8</v>
      </c>
      <c r="F8" s="81" t="str">
        <f>'Stavební rozpočet'!G6</f>
        <v xml:space="preserve"> </v>
      </c>
      <c r="G8" s="79"/>
      <c r="H8" s="82" t="s">
        <v>85</v>
      </c>
      <c r="I8" s="116" t="s">
        <v>42</v>
      </c>
      <c r="J8" s="1"/>
    </row>
    <row r="9" spans="1:10" x14ac:dyDescent="0.2">
      <c r="A9" s="80"/>
      <c r="B9" s="79"/>
      <c r="C9" s="79"/>
      <c r="D9" s="79"/>
      <c r="E9" s="79"/>
      <c r="F9" s="79"/>
      <c r="G9" s="79"/>
      <c r="H9" s="79"/>
      <c r="I9" s="84"/>
      <c r="J9" s="1"/>
    </row>
    <row r="10" spans="1:10" x14ac:dyDescent="0.2">
      <c r="A10" s="78" t="s">
        <v>10</v>
      </c>
      <c r="B10" s="79"/>
      <c r="C10" s="81">
        <f>'Stavební rozpočet'!D8</f>
        <v>8016911</v>
      </c>
      <c r="D10" s="79"/>
      <c r="E10" s="81" t="s">
        <v>12</v>
      </c>
      <c r="F10" s="81" t="str">
        <f>'Stavební rozpočet'!J8</f>
        <v xml:space="preserve"> </v>
      </c>
      <c r="G10" s="79"/>
      <c r="H10" s="82" t="s">
        <v>86</v>
      </c>
      <c r="I10" s="83" t="str">
        <f>'Stavební rozpočet'!G8</f>
        <v xml:space="preserve"> </v>
      </c>
      <c r="J10" s="1"/>
    </row>
    <row r="11" spans="1:10" x14ac:dyDescent="0.2">
      <c r="A11" s="85"/>
      <c r="B11" s="86"/>
      <c r="C11" s="86"/>
      <c r="D11" s="86"/>
      <c r="E11" s="86"/>
      <c r="F11" s="86"/>
      <c r="G11" s="86"/>
      <c r="H11" s="86"/>
      <c r="I11" s="87"/>
      <c r="J11" s="1"/>
    </row>
    <row r="12" spans="1:10" ht="23.45" customHeight="1" x14ac:dyDescent="0.2">
      <c r="A12" s="112" t="s">
        <v>87</v>
      </c>
      <c r="B12" s="113"/>
      <c r="C12" s="113"/>
      <c r="D12" s="113"/>
      <c r="E12" s="113"/>
      <c r="F12" s="113"/>
      <c r="G12" s="113"/>
      <c r="H12" s="113"/>
      <c r="I12" s="113"/>
    </row>
    <row r="13" spans="1:10" ht="26.45" customHeight="1" x14ac:dyDescent="0.2">
      <c r="A13" s="4" t="s">
        <v>88</v>
      </c>
      <c r="B13" s="114" t="s">
        <v>89</v>
      </c>
      <c r="C13" s="115"/>
      <c r="D13" s="4" t="s">
        <v>90</v>
      </c>
      <c r="E13" s="114" t="s">
        <v>91</v>
      </c>
      <c r="F13" s="115"/>
      <c r="G13" s="4" t="s">
        <v>92</v>
      </c>
      <c r="H13" s="114" t="s">
        <v>93</v>
      </c>
      <c r="I13" s="115"/>
      <c r="J13" s="1"/>
    </row>
    <row r="14" spans="1:10" ht="15.2" customHeight="1" x14ac:dyDescent="0.2">
      <c r="A14" s="5" t="s">
        <v>94</v>
      </c>
      <c r="B14" s="10" t="s">
        <v>95</v>
      </c>
      <c r="C14" s="14">
        <f>SUM('Stavební rozpočet'!R12:R33)</f>
        <v>0</v>
      </c>
      <c r="D14" s="110" t="s">
        <v>96</v>
      </c>
      <c r="E14" s="111"/>
      <c r="F14" s="14">
        <v>0</v>
      </c>
      <c r="G14" s="110" t="s">
        <v>97</v>
      </c>
      <c r="H14" s="111"/>
      <c r="I14" s="14">
        <v>0</v>
      </c>
      <c r="J14" s="1"/>
    </row>
    <row r="15" spans="1:10" ht="15.2" customHeight="1" x14ac:dyDescent="0.2">
      <c r="A15" s="6"/>
      <c r="B15" s="10" t="s">
        <v>98</v>
      </c>
      <c r="C15" s="14">
        <f>SUM('Stavební rozpočet'!S12:S33)</f>
        <v>0</v>
      </c>
      <c r="D15" s="110" t="s">
        <v>99</v>
      </c>
      <c r="E15" s="111"/>
      <c r="F15" s="14">
        <v>0</v>
      </c>
      <c r="G15" s="110" t="s">
        <v>100</v>
      </c>
      <c r="H15" s="111"/>
      <c r="I15" s="14">
        <v>0</v>
      </c>
      <c r="J15" s="1"/>
    </row>
    <row r="16" spans="1:10" ht="15.2" customHeight="1" x14ac:dyDescent="0.2">
      <c r="A16" s="5" t="s">
        <v>101</v>
      </c>
      <c r="B16" s="10" t="s">
        <v>95</v>
      </c>
      <c r="C16" s="14">
        <f>SUM('Stavební rozpočet'!T12:T33)</f>
        <v>0</v>
      </c>
      <c r="D16" s="110" t="s">
        <v>102</v>
      </c>
      <c r="E16" s="111"/>
      <c r="F16" s="14">
        <v>0</v>
      </c>
      <c r="G16" s="110" t="s">
        <v>103</v>
      </c>
      <c r="H16" s="111"/>
      <c r="I16" s="14">
        <v>0</v>
      </c>
      <c r="J16" s="1"/>
    </row>
    <row r="17" spans="1:10" ht="15.2" customHeight="1" x14ac:dyDescent="0.2">
      <c r="A17" s="6"/>
      <c r="B17" s="10" t="s">
        <v>98</v>
      </c>
      <c r="C17" s="14">
        <f>SUM('Stavební rozpočet'!U12:U33)</f>
        <v>0</v>
      </c>
      <c r="D17" s="110"/>
      <c r="E17" s="111"/>
      <c r="F17" s="15"/>
      <c r="G17" s="110" t="s">
        <v>104</v>
      </c>
      <c r="H17" s="111"/>
      <c r="I17" s="14">
        <v>0</v>
      </c>
      <c r="J17" s="1"/>
    </row>
    <row r="18" spans="1:10" ht="15.2" customHeight="1" x14ac:dyDescent="0.2">
      <c r="A18" s="5" t="s">
        <v>105</v>
      </c>
      <c r="B18" s="10" t="s">
        <v>95</v>
      </c>
      <c r="C18" s="14">
        <f>SUM('Stavební rozpočet'!V12:V33)</f>
        <v>0</v>
      </c>
      <c r="D18" s="110"/>
      <c r="E18" s="111"/>
      <c r="F18" s="15"/>
      <c r="G18" s="110" t="s">
        <v>106</v>
      </c>
      <c r="H18" s="111"/>
      <c r="I18" s="14">
        <v>0</v>
      </c>
      <c r="J18" s="1"/>
    </row>
    <row r="19" spans="1:10" ht="15.2" customHeight="1" x14ac:dyDescent="0.2">
      <c r="A19" s="6"/>
      <c r="B19" s="10" t="s">
        <v>98</v>
      </c>
      <c r="C19" s="14">
        <f>SUM('Stavební rozpočet'!W12:W33)</f>
        <v>0</v>
      </c>
      <c r="D19" s="110"/>
      <c r="E19" s="111"/>
      <c r="F19" s="15"/>
      <c r="G19" s="110" t="s">
        <v>107</v>
      </c>
      <c r="H19" s="111"/>
      <c r="I19" s="14">
        <v>0</v>
      </c>
      <c r="J19" s="1"/>
    </row>
    <row r="20" spans="1:10" ht="15.2" customHeight="1" x14ac:dyDescent="0.2">
      <c r="A20" s="108" t="s">
        <v>108</v>
      </c>
      <c r="B20" s="109"/>
      <c r="C20" s="14">
        <f>SUM('Stavební rozpočet'!X12:X33)</f>
        <v>0</v>
      </c>
      <c r="D20" s="110"/>
      <c r="E20" s="111"/>
      <c r="F20" s="15"/>
      <c r="G20" s="110"/>
      <c r="H20" s="111"/>
      <c r="I20" s="15"/>
      <c r="J20" s="1"/>
    </row>
    <row r="21" spans="1:10" ht="15.2" customHeight="1" x14ac:dyDescent="0.2">
      <c r="A21" s="108" t="s">
        <v>109</v>
      </c>
      <c r="B21" s="109"/>
      <c r="C21" s="14">
        <f>SUM('Stavební rozpočet'!P12:P33)</f>
        <v>0</v>
      </c>
      <c r="D21" s="110"/>
      <c r="E21" s="111"/>
      <c r="F21" s="15"/>
      <c r="G21" s="110"/>
      <c r="H21" s="111"/>
      <c r="I21" s="15"/>
      <c r="J21" s="1"/>
    </row>
    <row r="22" spans="1:10" ht="16.7" customHeight="1" x14ac:dyDescent="0.2">
      <c r="A22" s="108" t="s">
        <v>110</v>
      </c>
      <c r="B22" s="109"/>
      <c r="C22" s="14">
        <f>SUM(C14:C21)</f>
        <v>0</v>
      </c>
      <c r="D22" s="108" t="s">
        <v>111</v>
      </c>
      <c r="E22" s="109"/>
      <c r="F22" s="14">
        <f>SUM(F14:F21)</f>
        <v>0</v>
      </c>
      <c r="G22" s="108" t="s">
        <v>112</v>
      </c>
      <c r="H22" s="109"/>
      <c r="I22" s="14">
        <f>SUM(I14:I21)</f>
        <v>0</v>
      </c>
      <c r="J22" s="1"/>
    </row>
    <row r="23" spans="1:10" ht="15.2" customHeight="1" x14ac:dyDescent="0.2">
      <c r="A23" s="7"/>
      <c r="B23" s="7"/>
      <c r="C23" s="12"/>
      <c r="D23" s="108" t="s">
        <v>113</v>
      </c>
      <c r="E23" s="109"/>
      <c r="F23" s="16">
        <v>0</v>
      </c>
      <c r="G23" s="108" t="s">
        <v>114</v>
      </c>
      <c r="H23" s="109"/>
      <c r="I23" s="14">
        <v>0</v>
      </c>
      <c r="J23" s="1"/>
    </row>
    <row r="24" spans="1:10" ht="15.2" customHeight="1" x14ac:dyDescent="0.2">
      <c r="D24" s="7"/>
      <c r="E24" s="7"/>
      <c r="F24" s="17"/>
      <c r="G24" s="108" t="s">
        <v>115</v>
      </c>
      <c r="H24" s="109"/>
      <c r="I24" s="19"/>
    </row>
    <row r="25" spans="1:10" ht="15.2" customHeight="1" x14ac:dyDescent="0.2">
      <c r="F25" s="18"/>
      <c r="G25" s="108" t="s">
        <v>116</v>
      </c>
      <c r="H25" s="109"/>
      <c r="I25" s="14">
        <v>0</v>
      </c>
      <c r="J25" s="1"/>
    </row>
    <row r="26" spans="1:10" x14ac:dyDescent="0.2">
      <c r="A26" s="3"/>
      <c r="B26" s="3"/>
      <c r="C26" s="3"/>
      <c r="G26" s="7"/>
      <c r="H26" s="7"/>
      <c r="I26" s="7"/>
    </row>
    <row r="27" spans="1:10" ht="15.2" customHeight="1" x14ac:dyDescent="0.2">
      <c r="A27" s="106" t="s">
        <v>117</v>
      </c>
      <c r="B27" s="107"/>
      <c r="C27" s="21">
        <f>SUM('Stavební rozpočet'!Z12:Z33)</f>
        <v>0</v>
      </c>
      <c r="D27" s="13"/>
      <c r="E27" s="3"/>
      <c r="F27" s="3"/>
      <c r="G27" s="3"/>
      <c r="H27" s="3"/>
      <c r="I27" s="3"/>
    </row>
    <row r="28" spans="1:10" ht="15.2" customHeight="1" x14ac:dyDescent="0.2">
      <c r="A28" s="106" t="s">
        <v>118</v>
      </c>
      <c r="B28" s="107"/>
      <c r="C28" s="21">
        <f>SUM('Stavební rozpočet'!AA12:AA33)</f>
        <v>0</v>
      </c>
      <c r="D28" s="106" t="s">
        <v>119</v>
      </c>
      <c r="E28" s="107"/>
      <c r="F28" s="21">
        <f>ROUND(C28*(15/100),2)</f>
        <v>0</v>
      </c>
      <c r="G28" s="106" t="s">
        <v>120</v>
      </c>
      <c r="H28" s="107"/>
      <c r="I28" s="21">
        <f>SUM(C27:C29)</f>
        <v>0</v>
      </c>
      <c r="J28" s="1"/>
    </row>
    <row r="29" spans="1:10" ht="15.2" customHeight="1" x14ac:dyDescent="0.2">
      <c r="A29" s="106" t="s">
        <v>121</v>
      </c>
      <c r="B29" s="107"/>
      <c r="C29" s="21">
        <f>SUM('Stavební rozpočet'!AB12:AB33)+(F22+I22+F23+I23+I24+I25)</f>
        <v>0</v>
      </c>
      <c r="D29" s="106" t="s">
        <v>122</v>
      </c>
      <c r="E29" s="107"/>
      <c r="F29" s="21">
        <f>ROUND(C29*(21/100),2)</f>
        <v>0</v>
      </c>
      <c r="G29" s="106" t="s">
        <v>123</v>
      </c>
      <c r="H29" s="107"/>
      <c r="I29" s="21">
        <f>SUM(F28:F29)+I28</f>
        <v>0</v>
      </c>
      <c r="J29" s="1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</row>
    <row r="31" spans="1:10" ht="14.45" customHeight="1" x14ac:dyDescent="0.2">
      <c r="A31" s="103" t="s">
        <v>124</v>
      </c>
      <c r="B31" s="104"/>
      <c r="C31" s="105"/>
      <c r="D31" s="103" t="s">
        <v>125</v>
      </c>
      <c r="E31" s="104"/>
      <c r="F31" s="105"/>
      <c r="G31" s="103" t="s">
        <v>126</v>
      </c>
      <c r="H31" s="104"/>
      <c r="I31" s="105"/>
      <c r="J31" s="20"/>
    </row>
    <row r="32" spans="1:10" ht="14.45" customHeight="1" x14ac:dyDescent="0.2">
      <c r="A32" s="97"/>
      <c r="B32" s="98"/>
      <c r="C32" s="99"/>
      <c r="D32" s="97"/>
      <c r="E32" s="98"/>
      <c r="F32" s="99"/>
      <c r="G32" s="97"/>
      <c r="H32" s="98"/>
      <c r="I32" s="99"/>
      <c r="J32" s="20"/>
    </row>
    <row r="33" spans="1:10" ht="14.45" customHeight="1" x14ac:dyDescent="0.2">
      <c r="A33" s="97"/>
      <c r="B33" s="98"/>
      <c r="C33" s="99"/>
      <c r="D33" s="97"/>
      <c r="E33" s="98"/>
      <c r="F33" s="99"/>
      <c r="G33" s="97"/>
      <c r="H33" s="98"/>
      <c r="I33" s="99"/>
      <c r="J33" s="20"/>
    </row>
    <row r="34" spans="1:10" ht="14.45" customHeight="1" x14ac:dyDescent="0.2">
      <c r="A34" s="97"/>
      <c r="B34" s="98"/>
      <c r="C34" s="99"/>
      <c r="D34" s="97"/>
      <c r="E34" s="98"/>
      <c r="F34" s="99"/>
      <c r="G34" s="97"/>
      <c r="H34" s="98"/>
      <c r="I34" s="99"/>
      <c r="J34" s="20"/>
    </row>
    <row r="35" spans="1:10" ht="14.45" customHeight="1" x14ac:dyDescent="0.2">
      <c r="A35" s="100" t="s">
        <v>127</v>
      </c>
      <c r="B35" s="101"/>
      <c r="C35" s="102"/>
      <c r="D35" s="100" t="s">
        <v>127</v>
      </c>
      <c r="E35" s="101"/>
      <c r="F35" s="102"/>
      <c r="G35" s="100" t="s">
        <v>127</v>
      </c>
      <c r="H35" s="101"/>
      <c r="I35" s="102"/>
      <c r="J35" s="20"/>
    </row>
    <row r="36" spans="1:10" ht="11.25" customHeight="1" x14ac:dyDescent="0.2">
      <c r="A36" s="9" t="s">
        <v>128</v>
      </c>
      <c r="B36" s="11"/>
      <c r="C36" s="11"/>
      <c r="D36" s="11"/>
      <c r="E36" s="11"/>
      <c r="F36" s="11"/>
      <c r="G36" s="11"/>
      <c r="H36" s="11"/>
      <c r="I36" s="11"/>
    </row>
    <row r="37" spans="1:10" x14ac:dyDescent="0.2">
      <c r="A37" s="81"/>
      <c r="B37" s="79"/>
      <c r="C37" s="79"/>
      <c r="D37" s="79"/>
      <c r="E37" s="79"/>
      <c r="F37" s="79"/>
      <c r="G37" s="79"/>
      <c r="H37" s="79"/>
      <c r="I37" s="79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workbookViewId="0">
      <pane ySplit="11" topLeftCell="A12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6.85546875" customWidth="1"/>
    <col min="3" max="3" width="13.28515625" customWidth="1"/>
    <col min="4" max="4" width="45.4257812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2" width="11.7109375" customWidth="1"/>
    <col min="13" max="13" width="11.5703125" customWidth="1"/>
    <col min="14" max="14" width="0" hidden="1" customWidth="1"/>
    <col min="15" max="48" width="12.140625" hidden="1" customWidth="1"/>
  </cols>
  <sheetData>
    <row r="1" spans="1:48" ht="73.150000000000006" customHeight="1" x14ac:dyDescent="0.3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48" x14ac:dyDescent="0.2">
      <c r="A2" s="90" t="s">
        <v>1</v>
      </c>
      <c r="B2" s="91"/>
      <c r="C2" s="91"/>
      <c r="D2" s="92" t="s">
        <v>129</v>
      </c>
      <c r="E2" s="94" t="s">
        <v>2</v>
      </c>
      <c r="F2" s="91"/>
      <c r="G2" s="94" t="s">
        <v>21</v>
      </c>
      <c r="H2" s="91"/>
      <c r="I2" s="95" t="s">
        <v>3</v>
      </c>
      <c r="J2" s="95" t="s">
        <v>21</v>
      </c>
      <c r="K2" s="91"/>
      <c r="L2" s="91"/>
      <c r="M2" s="126"/>
      <c r="N2" s="1"/>
    </row>
    <row r="3" spans="1:48" x14ac:dyDescent="0.2">
      <c r="A3" s="80"/>
      <c r="B3" s="79"/>
      <c r="C3" s="79"/>
      <c r="D3" s="57"/>
      <c r="E3" s="79"/>
      <c r="F3" s="79"/>
      <c r="G3" s="79"/>
      <c r="H3" s="79"/>
      <c r="I3" s="79"/>
      <c r="J3" s="79"/>
      <c r="K3" s="79"/>
      <c r="L3" s="79"/>
      <c r="M3" s="84"/>
      <c r="N3" s="1"/>
    </row>
    <row r="4" spans="1:48" x14ac:dyDescent="0.2">
      <c r="A4" s="78" t="s">
        <v>4</v>
      </c>
      <c r="B4" s="79"/>
      <c r="C4" s="79"/>
      <c r="D4" s="81" t="s">
        <v>21</v>
      </c>
      <c r="E4" s="82" t="s">
        <v>5</v>
      </c>
      <c r="F4" s="79"/>
      <c r="G4" s="82" t="s">
        <v>21</v>
      </c>
      <c r="H4" s="79"/>
      <c r="I4" s="81" t="s">
        <v>6</v>
      </c>
      <c r="J4" s="81" t="s">
        <v>21</v>
      </c>
      <c r="K4" s="79"/>
      <c r="L4" s="79"/>
      <c r="M4" s="84"/>
      <c r="N4" s="1"/>
    </row>
    <row r="5" spans="1:48" x14ac:dyDescent="0.2">
      <c r="A5" s="80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4"/>
      <c r="N5" s="1"/>
    </row>
    <row r="6" spans="1:48" x14ac:dyDescent="0.2">
      <c r="A6" s="78" t="s">
        <v>7</v>
      </c>
      <c r="B6" s="79"/>
      <c r="C6" s="79"/>
      <c r="D6" s="81" t="s">
        <v>130</v>
      </c>
      <c r="E6" s="82" t="s">
        <v>8</v>
      </c>
      <c r="F6" s="79"/>
      <c r="G6" s="82" t="s">
        <v>21</v>
      </c>
      <c r="H6" s="79"/>
      <c r="I6" s="81" t="s">
        <v>9</v>
      </c>
      <c r="J6" s="81" t="s">
        <v>21</v>
      </c>
      <c r="K6" s="79"/>
      <c r="L6" s="79"/>
      <c r="M6" s="84"/>
      <c r="N6" s="1"/>
    </row>
    <row r="7" spans="1:48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4"/>
      <c r="N7" s="1"/>
    </row>
    <row r="8" spans="1:48" x14ac:dyDescent="0.2">
      <c r="A8" s="78" t="s">
        <v>10</v>
      </c>
      <c r="B8" s="79"/>
      <c r="C8" s="79"/>
      <c r="D8" s="81">
        <v>8016911</v>
      </c>
      <c r="E8" s="82" t="s">
        <v>11</v>
      </c>
      <c r="F8" s="79"/>
      <c r="G8" s="82" t="s">
        <v>21</v>
      </c>
      <c r="H8" s="79"/>
      <c r="I8" s="81" t="s">
        <v>12</v>
      </c>
      <c r="J8" s="81" t="s">
        <v>21</v>
      </c>
      <c r="K8" s="79"/>
      <c r="L8" s="79"/>
      <c r="M8" s="84"/>
      <c r="N8" s="1"/>
    </row>
    <row r="9" spans="1:48" x14ac:dyDescent="0.2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  <c r="N9" s="1"/>
    </row>
    <row r="10" spans="1:48" x14ac:dyDescent="0.2">
      <c r="A10" s="22" t="s">
        <v>13</v>
      </c>
      <c r="B10" s="28" t="s">
        <v>131</v>
      </c>
      <c r="C10" s="28" t="s">
        <v>14</v>
      </c>
      <c r="D10" s="28" t="s">
        <v>15</v>
      </c>
      <c r="E10" s="28" t="s">
        <v>16</v>
      </c>
      <c r="F10" s="33" t="s">
        <v>17</v>
      </c>
      <c r="G10" s="34" t="s">
        <v>132</v>
      </c>
      <c r="H10" s="119" t="s">
        <v>133</v>
      </c>
      <c r="I10" s="120"/>
      <c r="J10" s="121"/>
      <c r="K10" s="119" t="s">
        <v>134</v>
      </c>
      <c r="L10" s="121"/>
      <c r="M10" s="42" t="s">
        <v>135</v>
      </c>
      <c r="N10" s="20"/>
    </row>
    <row r="11" spans="1:48" x14ac:dyDescent="0.2">
      <c r="A11" s="23" t="s">
        <v>21</v>
      </c>
      <c r="B11" s="29" t="s">
        <v>21</v>
      </c>
      <c r="C11" s="29" t="s">
        <v>21</v>
      </c>
      <c r="D11" s="32" t="s">
        <v>136</v>
      </c>
      <c r="E11" s="29" t="s">
        <v>21</v>
      </c>
      <c r="F11" s="29" t="s">
        <v>21</v>
      </c>
      <c r="G11" s="35" t="s">
        <v>137</v>
      </c>
      <c r="H11" s="36" t="s">
        <v>138</v>
      </c>
      <c r="I11" s="37" t="s">
        <v>98</v>
      </c>
      <c r="J11" s="38" t="s">
        <v>139</v>
      </c>
      <c r="K11" s="36" t="s">
        <v>132</v>
      </c>
      <c r="L11" s="38" t="s">
        <v>139</v>
      </c>
      <c r="M11" s="43" t="s">
        <v>140</v>
      </c>
      <c r="N11" s="20"/>
      <c r="P11" s="40" t="s">
        <v>141</v>
      </c>
      <c r="Q11" s="40" t="s">
        <v>142</v>
      </c>
      <c r="R11" s="40" t="s">
        <v>143</v>
      </c>
      <c r="S11" s="40" t="s">
        <v>144</v>
      </c>
      <c r="T11" s="40" t="s">
        <v>145</v>
      </c>
      <c r="U11" s="40" t="s">
        <v>146</v>
      </c>
      <c r="V11" s="40" t="s">
        <v>147</v>
      </c>
      <c r="W11" s="40" t="s">
        <v>148</v>
      </c>
      <c r="X11" s="40" t="s">
        <v>149</v>
      </c>
    </row>
    <row r="12" spans="1:48" x14ac:dyDescent="0.2">
      <c r="A12" s="24"/>
      <c r="B12" s="30"/>
      <c r="C12" s="30" t="s">
        <v>22</v>
      </c>
      <c r="D12" s="30" t="s">
        <v>23</v>
      </c>
      <c r="E12" s="24" t="s">
        <v>21</v>
      </c>
      <c r="F12" s="24" t="s">
        <v>21</v>
      </c>
      <c r="G12" s="24" t="s">
        <v>21</v>
      </c>
      <c r="H12" s="48">
        <f>SUM(H13:H13)</f>
        <v>0</v>
      </c>
      <c r="I12" s="48">
        <f>SUM(I13:I13)</f>
        <v>0</v>
      </c>
      <c r="J12" s="48">
        <f>H12+I12</f>
        <v>0</v>
      </c>
      <c r="K12" s="39"/>
      <c r="L12" s="48">
        <f>SUM(L13:L13)</f>
        <v>0</v>
      </c>
      <c r="M12" s="39"/>
      <c r="Y12" s="40"/>
      <c r="AI12" s="53">
        <f>SUM(Z13:Z13)</f>
        <v>0</v>
      </c>
      <c r="AJ12" s="53">
        <f>SUM(AA13:AA13)</f>
        <v>0</v>
      </c>
      <c r="AK12" s="53">
        <f>SUM(AB13:AB13)</f>
        <v>0</v>
      </c>
    </row>
    <row r="13" spans="1:48" x14ac:dyDescent="0.2">
      <c r="A13" s="52" t="s">
        <v>24</v>
      </c>
      <c r="B13" s="52"/>
      <c r="C13" s="52" t="s">
        <v>25</v>
      </c>
      <c r="D13" s="52" t="s">
        <v>26</v>
      </c>
      <c r="E13" s="52" t="s">
        <v>27</v>
      </c>
      <c r="F13" s="51">
        <f>'Rozpočet - vybrané sloupce'!AB12</f>
        <v>29.907699999999998</v>
      </c>
      <c r="G13" s="51">
        <f>'Rozpočet - vybrané sloupce'!AG12</f>
        <v>0</v>
      </c>
      <c r="H13" s="51">
        <f>F13*AE13</f>
        <v>0</v>
      </c>
      <c r="I13" s="51">
        <f>J13-H13</f>
        <v>0</v>
      </c>
      <c r="J13" s="51">
        <f>F13*G13</f>
        <v>0</v>
      </c>
      <c r="K13" s="51">
        <v>0</v>
      </c>
      <c r="L13" s="51">
        <f>F13*K13</f>
        <v>0</v>
      </c>
      <c r="M13" s="44" t="s">
        <v>150</v>
      </c>
      <c r="P13" s="46">
        <f>IF(AG13="5",J13,0)</f>
        <v>0</v>
      </c>
      <c r="R13" s="46">
        <f>IF(AG13="1",H13,0)</f>
        <v>0</v>
      </c>
      <c r="S13" s="46">
        <f>IF(AG13="1",I13,0)</f>
        <v>0</v>
      </c>
      <c r="T13" s="46">
        <f>IF(AG13="7",H13,0)</f>
        <v>0</v>
      </c>
      <c r="U13" s="46">
        <f>IF(AG13="7",I13,0)</f>
        <v>0</v>
      </c>
      <c r="V13" s="46">
        <f>IF(AG13="2",H13,0)</f>
        <v>0</v>
      </c>
      <c r="W13" s="46">
        <f>IF(AG13="2",I13,0)</f>
        <v>0</v>
      </c>
      <c r="X13" s="46">
        <f>IF(AG13="0",J13,0)</f>
        <v>0</v>
      </c>
      <c r="Y13" s="40"/>
      <c r="Z13" s="51">
        <f>IF(AD13=0,J13,0)</f>
        <v>0</v>
      </c>
      <c r="AA13" s="51">
        <f>IF(AD13=15,J13,0)</f>
        <v>0</v>
      </c>
      <c r="AB13" s="51">
        <f>IF(AD13=21,J13,0)</f>
        <v>0</v>
      </c>
      <c r="AD13" s="46">
        <v>21</v>
      </c>
      <c r="AE13" s="46">
        <f>G13*0</f>
        <v>0</v>
      </c>
      <c r="AF13" s="46">
        <f>G13*(1-0)</f>
        <v>0</v>
      </c>
      <c r="AG13" s="44" t="s">
        <v>44</v>
      </c>
      <c r="AM13" s="46">
        <f>F13*AE13</f>
        <v>0</v>
      </c>
      <c r="AN13" s="46">
        <f>F13*AF13</f>
        <v>0</v>
      </c>
      <c r="AO13" s="47" t="s">
        <v>151</v>
      </c>
      <c r="AP13" s="47" t="s">
        <v>152</v>
      </c>
      <c r="AQ13" s="40" t="s">
        <v>153</v>
      </c>
      <c r="AS13" s="46">
        <f>AM13+AN13</f>
        <v>0</v>
      </c>
      <c r="AT13" s="46">
        <f>G13/(100-AU13)*100</f>
        <v>0</v>
      </c>
      <c r="AU13" s="46">
        <v>0</v>
      </c>
      <c r="AV13" s="46">
        <f>L13</f>
        <v>0</v>
      </c>
    </row>
    <row r="14" spans="1:48" x14ac:dyDescent="0.2">
      <c r="A14" s="25"/>
      <c r="B14" s="31"/>
      <c r="C14" s="31" t="s">
        <v>28</v>
      </c>
      <c r="D14" s="31" t="s">
        <v>29</v>
      </c>
      <c r="E14" s="25" t="s">
        <v>21</v>
      </c>
      <c r="F14" s="25" t="s">
        <v>21</v>
      </c>
      <c r="G14" s="25" t="s">
        <v>21</v>
      </c>
      <c r="H14" s="53">
        <f>SUM(H15:H15)</f>
        <v>0</v>
      </c>
      <c r="I14" s="53">
        <f>SUM(I15:I15)</f>
        <v>0</v>
      </c>
      <c r="J14" s="53">
        <f>H14+I14</f>
        <v>0</v>
      </c>
      <c r="K14" s="40"/>
      <c r="L14" s="53">
        <f>SUM(L15:L15)</f>
        <v>0</v>
      </c>
      <c r="M14" s="40"/>
      <c r="Y14" s="40"/>
      <c r="AI14" s="53">
        <f>SUM(Z15:Z15)</f>
        <v>0</v>
      </c>
      <c r="AJ14" s="53">
        <f>SUM(AA15:AA15)</f>
        <v>0</v>
      </c>
      <c r="AK14" s="53">
        <f>SUM(AB15:AB15)</f>
        <v>0</v>
      </c>
    </row>
    <row r="15" spans="1:48" x14ac:dyDescent="0.2">
      <c r="A15" s="52" t="s">
        <v>30</v>
      </c>
      <c r="B15" s="52"/>
      <c r="C15" s="52" t="s">
        <v>31</v>
      </c>
      <c r="D15" s="52" t="s">
        <v>32</v>
      </c>
      <c r="E15" s="52" t="s">
        <v>33</v>
      </c>
      <c r="F15" s="51">
        <f>'Rozpočet - vybrané sloupce'!AB14</f>
        <v>17.07113</v>
      </c>
      <c r="G15" s="51">
        <f>'Rozpočet - vybrané sloupce'!AG14</f>
        <v>0</v>
      </c>
      <c r="H15" s="51">
        <f>F15*AE15</f>
        <v>0</v>
      </c>
      <c r="I15" s="51">
        <f>J15-H15</f>
        <v>0</v>
      </c>
      <c r="J15" s="51">
        <f>F15*G15</f>
        <v>0</v>
      </c>
      <c r="K15" s="51">
        <v>0</v>
      </c>
      <c r="L15" s="51">
        <f>F15*K15</f>
        <v>0</v>
      </c>
      <c r="M15" s="44" t="s">
        <v>150</v>
      </c>
      <c r="P15" s="46">
        <f>IF(AG15="5",J15,0)</f>
        <v>0</v>
      </c>
      <c r="R15" s="46">
        <f>IF(AG15="1",H15,0)</f>
        <v>0</v>
      </c>
      <c r="S15" s="46">
        <f>IF(AG15="1",I15,0)</f>
        <v>0</v>
      </c>
      <c r="T15" s="46">
        <f>IF(AG15="7",H15,0)</f>
        <v>0</v>
      </c>
      <c r="U15" s="46">
        <f>IF(AG15="7",I15,0)</f>
        <v>0</v>
      </c>
      <c r="V15" s="46">
        <f>IF(AG15="2",H15,0)</f>
        <v>0</v>
      </c>
      <c r="W15" s="46">
        <f>IF(AG15="2",I15,0)</f>
        <v>0</v>
      </c>
      <c r="X15" s="46">
        <f>IF(AG15="0",J15,0)</f>
        <v>0</v>
      </c>
      <c r="Y15" s="40"/>
      <c r="Z15" s="51">
        <f>IF(AD15=0,J15,0)</f>
        <v>0</v>
      </c>
      <c r="AA15" s="51">
        <f>IF(AD15=15,J15,0)</f>
        <v>0</v>
      </c>
      <c r="AB15" s="51">
        <f>IF(AD15=21,J15,0)</f>
        <v>0</v>
      </c>
      <c r="AD15" s="46">
        <v>21</v>
      </c>
      <c r="AE15" s="46">
        <f>G15*0</f>
        <v>0</v>
      </c>
      <c r="AF15" s="46">
        <f>G15*(1-0)</f>
        <v>0</v>
      </c>
      <c r="AG15" s="44" t="s">
        <v>24</v>
      </c>
      <c r="AM15" s="46">
        <f>F15*AE15</f>
        <v>0</v>
      </c>
      <c r="AN15" s="46">
        <f>F15*AF15</f>
        <v>0</v>
      </c>
      <c r="AO15" s="47" t="s">
        <v>154</v>
      </c>
      <c r="AP15" s="47" t="s">
        <v>155</v>
      </c>
      <c r="AQ15" s="40" t="s">
        <v>153</v>
      </c>
      <c r="AS15" s="46">
        <f>AM15+AN15</f>
        <v>0</v>
      </c>
      <c r="AT15" s="46">
        <f>G15/(100-AU15)*100</f>
        <v>0</v>
      </c>
      <c r="AU15" s="46">
        <v>0</v>
      </c>
      <c r="AV15" s="46">
        <f>L15</f>
        <v>0</v>
      </c>
    </row>
    <row r="16" spans="1:48" x14ac:dyDescent="0.2">
      <c r="A16" s="25"/>
      <c r="B16" s="31"/>
      <c r="C16" s="31" t="s">
        <v>34</v>
      </c>
      <c r="D16" s="31" t="s">
        <v>35</v>
      </c>
      <c r="E16" s="25" t="s">
        <v>21</v>
      </c>
      <c r="F16" s="25" t="s">
        <v>21</v>
      </c>
      <c r="G16" s="25" t="s">
        <v>21</v>
      </c>
      <c r="H16" s="53">
        <f>SUM(H17:H18)</f>
        <v>0</v>
      </c>
      <c r="I16" s="53">
        <f>SUM(I17:I18)</f>
        <v>0</v>
      </c>
      <c r="J16" s="53">
        <f>H16+I16</f>
        <v>0</v>
      </c>
      <c r="K16" s="40"/>
      <c r="L16" s="53">
        <f>SUM(L17:L18)</f>
        <v>0</v>
      </c>
      <c r="M16" s="40"/>
      <c r="Y16" s="40"/>
      <c r="AI16" s="53">
        <f>SUM(Z17:Z18)</f>
        <v>0</v>
      </c>
      <c r="AJ16" s="53">
        <f>SUM(AA17:AA18)</f>
        <v>0</v>
      </c>
      <c r="AK16" s="53">
        <f>SUM(AB17:AB18)</f>
        <v>0</v>
      </c>
    </row>
    <row r="17" spans="1:48" x14ac:dyDescent="0.2">
      <c r="A17" s="52" t="s">
        <v>36</v>
      </c>
      <c r="B17" s="52"/>
      <c r="C17" s="52" t="s">
        <v>37</v>
      </c>
      <c r="D17" s="52" t="s">
        <v>38</v>
      </c>
      <c r="E17" s="52" t="s">
        <v>33</v>
      </c>
      <c r="F17" s="51">
        <f>'Rozpočet - vybrané sloupce'!AB16</f>
        <v>69.295500000000004</v>
      </c>
      <c r="G17" s="51">
        <f>'Rozpočet - vybrané sloupce'!AG16</f>
        <v>0</v>
      </c>
      <c r="H17" s="51">
        <f>F17*AE17</f>
        <v>0</v>
      </c>
      <c r="I17" s="51">
        <f>J17-H17</f>
        <v>0</v>
      </c>
      <c r="J17" s="51">
        <f>F17*G17</f>
        <v>0</v>
      </c>
      <c r="K17" s="51">
        <v>0</v>
      </c>
      <c r="L17" s="51">
        <f>F17*K17</f>
        <v>0</v>
      </c>
      <c r="M17" s="44" t="s">
        <v>150</v>
      </c>
      <c r="P17" s="46">
        <f>IF(AG17="5",J17,0)</f>
        <v>0</v>
      </c>
      <c r="R17" s="46">
        <f>IF(AG17="1",H17,0)</f>
        <v>0</v>
      </c>
      <c r="S17" s="46">
        <f>IF(AG17="1",I17,0)</f>
        <v>0</v>
      </c>
      <c r="T17" s="46">
        <f>IF(AG17="7",H17,0)</f>
        <v>0</v>
      </c>
      <c r="U17" s="46">
        <f>IF(AG17="7",I17,0)</f>
        <v>0</v>
      </c>
      <c r="V17" s="46">
        <f>IF(AG17="2",H17,0)</f>
        <v>0</v>
      </c>
      <c r="W17" s="46">
        <f>IF(AG17="2",I17,0)</f>
        <v>0</v>
      </c>
      <c r="X17" s="46">
        <f>IF(AG17="0",J17,0)</f>
        <v>0</v>
      </c>
      <c r="Y17" s="40"/>
      <c r="Z17" s="51">
        <f>IF(AD17=0,J17,0)</f>
        <v>0</v>
      </c>
      <c r="AA17" s="51">
        <f>IF(AD17=15,J17,0)</f>
        <v>0</v>
      </c>
      <c r="AB17" s="51">
        <f>IF(AD17=21,J17,0)</f>
        <v>0</v>
      </c>
      <c r="AD17" s="46">
        <v>21</v>
      </c>
      <c r="AE17" s="46">
        <f>G17*0</f>
        <v>0</v>
      </c>
      <c r="AF17" s="46">
        <f>G17*(1-0)</f>
        <v>0</v>
      </c>
      <c r="AG17" s="44" t="s">
        <v>24</v>
      </c>
      <c r="AM17" s="46">
        <f>F17*AE17</f>
        <v>0</v>
      </c>
      <c r="AN17" s="46">
        <f>F17*AF17</f>
        <v>0</v>
      </c>
      <c r="AO17" s="47" t="s">
        <v>156</v>
      </c>
      <c r="AP17" s="47" t="s">
        <v>155</v>
      </c>
      <c r="AQ17" s="40" t="s">
        <v>153</v>
      </c>
      <c r="AS17" s="46">
        <f>AM17+AN17</f>
        <v>0</v>
      </c>
      <c r="AT17" s="46">
        <f>G17/(100-AU17)*100</f>
        <v>0</v>
      </c>
      <c r="AU17" s="46">
        <v>0</v>
      </c>
      <c r="AV17" s="46">
        <f>L17</f>
        <v>0</v>
      </c>
    </row>
    <row r="18" spans="1:48" x14ac:dyDescent="0.2">
      <c r="A18" s="52" t="s">
        <v>39</v>
      </c>
      <c r="B18" s="52"/>
      <c r="C18" s="52" t="s">
        <v>40</v>
      </c>
      <c r="D18" s="52" t="s">
        <v>41</v>
      </c>
      <c r="E18" s="52" t="s">
        <v>33</v>
      </c>
      <c r="F18" s="51">
        <f>'Rozpočet - vybrané sloupce'!AB17</f>
        <v>69.295500000000004</v>
      </c>
      <c r="G18" s="51">
        <f>'Rozpočet - vybrané sloupce'!AG17</f>
        <v>0</v>
      </c>
      <c r="H18" s="51">
        <f>F18*AE18</f>
        <v>0</v>
      </c>
      <c r="I18" s="51">
        <f>J18-H18</f>
        <v>0</v>
      </c>
      <c r="J18" s="51">
        <f>F18*G18</f>
        <v>0</v>
      </c>
      <c r="K18" s="51">
        <v>0</v>
      </c>
      <c r="L18" s="51">
        <f>F18*K18</f>
        <v>0</v>
      </c>
      <c r="M18" s="44" t="s">
        <v>150</v>
      </c>
      <c r="P18" s="46">
        <f>IF(AG18="5",J18,0)</f>
        <v>0</v>
      </c>
      <c r="R18" s="46">
        <f>IF(AG18="1",H18,0)</f>
        <v>0</v>
      </c>
      <c r="S18" s="46">
        <f>IF(AG18="1",I18,0)</f>
        <v>0</v>
      </c>
      <c r="T18" s="46">
        <f>IF(AG18="7",H18,0)</f>
        <v>0</v>
      </c>
      <c r="U18" s="46">
        <f>IF(AG18="7",I18,0)</f>
        <v>0</v>
      </c>
      <c r="V18" s="46">
        <f>IF(AG18="2",H18,0)</f>
        <v>0</v>
      </c>
      <c r="W18" s="46">
        <f>IF(AG18="2",I18,0)</f>
        <v>0</v>
      </c>
      <c r="X18" s="46">
        <f>IF(AG18="0",J18,0)</f>
        <v>0</v>
      </c>
      <c r="Y18" s="40"/>
      <c r="Z18" s="51">
        <f>IF(AD18=0,J18,0)</f>
        <v>0</v>
      </c>
      <c r="AA18" s="51">
        <f>IF(AD18=15,J18,0)</f>
        <v>0</v>
      </c>
      <c r="AB18" s="51">
        <f>IF(AD18=21,J18,0)</f>
        <v>0</v>
      </c>
      <c r="AD18" s="46">
        <v>21</v>
      </c>
      <c r="AE18" s="46">
        <f>G18*0</f>
        <v>0</v>
      </c>
      <c r="AF18" s="46">
        <f>G18*(1-0)</f>
        <v>0</v>
      </c>
      <c r="AG18" s="44" t="s">
        <v>24</v>
      </c>
      <c r="AM18" s="46">
        <f>F18*AE18</f>
        <v>0</v>
      </c>
      <c r="AN18" s="46">
        <f>F18*AF18</f>
        <v>0</v>
      </c>
      <c r="AO18" s="47" t="s">
        <v>156</v>
      </c>
      <c r="AP18" s="47" t="s">
        <v>155</v>
      </c>
      <c r="AQ18" s="40" t="s">
        <v>153</v>
      </c>
      <c r="AS18" s="46">
        <f>AM18+AN18</f>
        <v>0</v>
      </c>
      <c r="AT18" s="46">
        <f>G18/(100-AU18)*100</f>
        <v>0</v>
      </c>
      <c r="AU18" s="46">
        <v>0</v>
      </c>
      <c r="AV18" s="46">
        <f>L18</f>
        <v>0</v>
      </c>
    </row>
    <row r="19" spans="1:48" x14ac:dyDescent="0.2">
      <c r="A19" s="25"/>
      <c r="B19" s="31"/>
      <c r="C19" s="31" t="s">
        <v>42</v>
      </c>
      <c r="D19" s="31" t="s">
        <v>43</v>
      </c>
      <c r="E19" s="25" t="s">
        <v>21</v>
      </c>
      <c r="F19" s="25" t="s">
        <v>21</v>
      </c>
      <c r="G19" s="25" t="s">
        <v>21</v>
      </c>
      <c r="H19" s="53">
        <f>SUM(H20:H22)</f>
        <v>0</v>
      </c>
      <c r="I19" s="53">
        <f>SUM(I20:I22)</f>
        <v>0</v>
      </c>
      <c r="J19" s="53">
        <f>H19+I19</f>
        <v>0</v>
      </c>
      <c r="K19" s="40"/>
      <c r="L19" s="53">
        <f>SUM(L20:L22)</f>
        <v>0</v>
      </c>
      <c r="M19" s="40"/>
      <c r="Y19" s="40"/>
      <c r="AI19" s="53">
        <f>SUM(Z20:Z22)</f>
        <v>0</v>
      </c>
      <c r="AJ19" s="53">
        <f>SUM(AA20:AA22)</f>
        <v>0</v>
      </c>
      <c r="AK19" s="53">
        <f>SUM(AB20:AB22)</f>
        <v>0</v>
      </c>
    </row>
    <row r="20" spans="1:48" x14ac:dyDescent="0.2">
      <c r="A20" s="52" t="s">
        <v>44</v>
      </c>
      <c r="B20" s="52"/>
      <c r="C20" s="52" t="s">
        <v>45</v>
      </c>
      <c r="D20" s="52" t="s">
        <v>46</v>
      </c>
      <c r="E20" s="52" t="s">
        <v>33</v>
      </c>
      <c r="F20" s="51">
        <f>'Rozpočet - vybrané sloupce'!AB19</f>
        <v>86.366630000000001</v>
      </c>
      <c r="G20" s="51">
        <f>'Rozpočet - vybrané sloupce'!AG19</f>
        <v>0</v>
      </c>
      <c r="H20" s="51">
        <f>F20*AE20</f>
        <v>0</v>
      </c>
      <c r="I20" s="51">
        <f>J20-H20</f>
        <v>0</v>
      </c>
      <c r="J20" s="51">
        <f>F20*G20</f>
        <v>0</v>
      </c>
      <c r="K20" s="51">
        <v>0</v>
      </c>
      <c r="L20" s="51">
        <f>F20*K20</f>
        <v>0</v>
      </c>
      <c r="M20" s="44" t="s">
        <v>150</v>
      </c>
      <c r="P20" s="46">
        <f>IF(AG20="5",J20,0)</f>
        <v>0</v>
      </c>
      <c r="R20" s="46">
        <f>IF(AG20="1",H20,0)</f>
        <v>0</v>
      </c>
      <c r="S20" s="46">
        <f>IF(AG20="1",I20,0)</f>
        <v>0</v>
      </c>
      <c r="T20" s="46">
        <f>IF(AG20="7",H20,0)</f>
        <v>0</v>
      </c>
      <c r="U20" s="46">
        <f>IF(AG20="7",I20,0)</f>
        <v>0</v>
      </c>
      <c r="V20" s="46">
        <f>IF(AG20="2",H20,0)</f>
        <v>0</v>
      </c>
      <c r="W20" s="46">
        <f>IF(AG20="2",I20,0)</f>
        <v>0</v>
      </c>
      <c r="X20" s="46">
        <f>IF(AG20="0",J20,0)</f>
        <v>0</v>
      </c>
      <c r="Y20" s="40"/>
      <c r="Z20" s="51">
        <f>IF(AD20=0,J20,0)</f>
        <v>0</v>
      </c>
      <c r="AA20" s="51">
        <f>IF(AD20=15,J20,0)</f>
        <v>0</v>
      </c>
      <c r="AB20" s="51">
        <f>IF(AD20=21,J20,0)</f>
        <v>0</v>
      </c>
      <c r="AD20" s="46">
        <v>21</v>
      </c>
      <c r="AE20" s="46">
        <f>G20*0</f>
        <v>0</v>
      </c>
      <c r="AF20" s="46">
        <f>G20*(1-0)</f>
        <v>0</v>
      </c>
      <c r="AG20" s="44" t="s">
        <v>24</v>
      </c>
      <c r="AM20" s="46">
        <f>F20*AE20</f>
        <v>0</v>
      </c>
      <c r="AN20" s="46">
        <f>F20*AF20</f>
        <v>0</v>
      </c>
      <c r="AO20" s="47" t="s">
        <v>157</v>
      </c>
      <c r="AP20" s="47" t="s">
        <v>155</v>
      </c>
      <c r="AQ20" s="40" t="s">
        <v>153</v>
      </c>
      <c r="AS20" s="46">
        <f>AM20+AN20</f>
        <v>0</v>
      </c>
      <c r="AT20" s="46">
        <f>G20/(100-AU20)*100</f>
        <v>0</v>
      </c>
      <c r="AU20" s="46">
        <v>0</v>
      </c>
      <c r="AV20" s="46">
        <f>L20</f>
        <v>0</v>
      </c>
    </row>
    <row r="21" spans="1:48" x14ac:dyDescent="0.2">
      <c r="A21" s="52" t="s">
        <v>47</v>
      </c>
      <c r="B21" s="52"/>
      <c r="C21" s="52" t="s">
        <v>48</v>
      </c>
      <c r="D21" s="52" t="s">
        <v>49</v>
      </c>
      <c r="E21" s="52" t="s">
        <v>33</v>
      </c>
      <c r="F21" s="51">
        <f>'Rozpočet - vybrané sloupce'!AB20</f>
        <v>86.366630000000001</v>
      </c>
      <c r="G21" s="51">
        <f>'Rozpočet - vybrané sloupce'!AG20</f>
        <v>0</v>
      </c>
      <c r="H21" s="51">
        <f>F21*AE21</f>
        <v>0</v>
      </c>
      <c r="I21" s="51">
        <f>J21-H21</f>
        <v>0</v>
      </c>
      <c r="J21" s="51">
        <f>F21*G21</f>
        <v>0</v>
      </c>
      <c r="K21" s="51">
        <v>0</v>
      </c>
      <c r="L21" s="51">
        <f>F21*K21</f>
        <v>0</v>
      </c>
      <c r="M21" s="44" t="s">
        <v>150</v>
      </c>
      <c r="P21" s="46">
        <f>IF(AG21="5",J21,0)</f>
        <v>0</v>
      </c>
      <c r="R21" s="46">
        <f>IF(AG21="1",H21,0)</f>
        <v>0</v>
      </c>
      <c r="S21" s="46">
        <f>IF(AG21="1",I21,0)</f>
        <v>0</v>
      </c>
      <c r="T21" s="46">
        <f>IF(AG21="7",H21,0)</f>
        <v>0</v>
      </c>
      <c r="U21" s="46">
        <f>IF(AG21="7",I21,0)</f>
        <v>0</v>
      </c>
      <c r="V21" s="46">
        <f>IF(AG21="2",H21,0)</f>
        <v>0</v>
      </c>
      <c r="W21" s="46">
        <f>IF(AG21="2",I21,0)</f>
        <v>0</v>
      </c>
      <c r="X21" s="46">
        <f>IF(AG21="0",J21,0)</f>
        <v>0</v>
      </c>
      <c r="Y21" s="40"/>
      <c r="Z21" s="51">
        <f>IF(AD21=0,J21,0)</f>
        <v>0</v>
      </c>
      <c r="AA21" s="51">
        <f>IF(AD21=15,J21,0)</f>
        <v>0</v>
      </c>
      <c r="AB21" s="51">
        <f>IF(AD21=21,J21,0)</f>
        <v>0</v>
      </c>
      <c r="AD21" s="46">
        <v>21</v>
      </c>
      <c r="AE21" s="46">
        <f>G21*0</f>
        <v>0</v>
      </c>
      <c r="AF21" s="46">
        <f>G21*(1-0)</f>
        <v>0</v>
      </c>
      <c r="AG21" s="44" t="s">
        <v>24</v>
      </c>
      <c r="AM21" s="46">
        <f>F21*AE21</f>
        <v>0</v>
      </c>
      <c r="AN21" s="46">
        <f>F21*AF21</f>
        <v>0</v>
      </c>
      <c r="AO21" s="47" t="s">
        <v>157</v>
      </c>
      <c r="AP21" s="47" t="s">
        <v>155</v>
      </c>
      <c r="AQ21" s="40" t="s">
        <v>153</v>
      </c>
      <c r="AS21" s="46">
        <f>AM21+AN21</f>
        <v>0</v>
      </c>
      <c r="AT21" s="46">
        <f>G21/(100-AU21)*100</f>
        <v>0</v>
      </c>
      <c r="AU21" s="46">
        <v>0</v>
      </c>
      <c r="AV21" s="46">
        <f>L21</f>
        <v>0</v>
      </c>
    </row>
    <row r="22" spans="1:48" x14ac:dyDescent="0.2">
      <c r="A22" s="52" t="s">
        <v>50</v>
      </c>
      <c r="B22" s="52"/>
      <c r="C22" s="52" t="s">
        <v>51</v>
      </c>
      <c r="D22" s="52" t="s">
        <v>52</v>
      </c>
      <c r="E22" s="52" t="s">
        <v>33</v>
      </c>
      <c r="F22" s="51">
        <f>'Rozpočet - vybrané sloupce'!AB21</f>
        <v>1122.7661900000001</v>
      </c>
      <c r="G22" s="51">
        <f>'Rozpočet - vybrané sloupce'!AG21</f>
        <v>0</v>
      </c>
      <c r="H22" s="51">
        <f>F22*AE22</f>
        <v>0</v>
      </c>
      <c r="I22" s="51">
        <f>J22-H22</f>
        <v>0</v>
      </c>
      <c r="J22" s="51">
        <f>F22*G22</f>
        <v>0</v>
      </c>
      <c r="K22" s="51">
        <v>0</v>
      </c>
      <c r="L22" s="51">
        <f>F22*K22</f>
        <v>0</v>
      </c>
      <c r="M22" s="44" t="s">
        <v>150</v>
      </c>
      <c r="P22" s="46">
        <f>IF(AG22="5",J22,0)</f>
        <v>0</v>
      </c>
      <c r="R22" s="46">
        <f>IF(AG22="1",H22,0)</f>
        <v>0</v>
      </c>
      <c r="S22" s="46">
        <f>IF(AG22="1",I22,0)</f>
        <v>0</v>
      </c>
      <c r="T22" s="46">
        <f>IF(AG22="7",H22,0)</f>
        <v>0</v>
      </c>
      <c r="U22" s="46">
        <f>IF(AG22="7",I22,0)</f>
        <v>0</v>
      </c>
      <c r="V22" s="46">
        <f>IF(AG22="2",H22,0)</f>
        <v>0</v>
      </c>
      <c r="W22" s="46">
        <f>IF(AG22="2",I22,0)</f>
        <v>0</v>
      </c>
      <c r="X22" s="46">
        <f>IF(AG22="0",J22,0)</f>
        <v>0</v>
      </c>
      <c r="Y22" s="40"/>
      <c r="Z22" s="51">
        <f>IF(AD22=0,J22,0)</f>
        <v>0</v>
      </c>
      <c r="AA22" s="51">
        <f>IF(AD22=15,J22,0)</f>
        <v>0</v>
      </c>
      <c r="AB22" s="51">
        <f>IF(AD22=21,J22,0)</f>
        <v>0</v>
      </c>
      <c r="AD22" s="46">
        <v>21</v>
      </c>
      <c r="AE22" s="46">
        <f>G22*0</f>
        <v>0</v>
      </c>
      <c r="AF22" s="46">
        <f>G22*(1-0)</f>
        <v>0</v>
      </c>
      <c r="AG22" s="44" t="s">
        <v>24</v>
      </c>
      <c r="AM22" s="46">
        <f>F22*AE22</f>
        <v>0</v>
      </c>
      <c r="AN22" s="46">
        <f>F22*AF22</f>
        <v>0</v>
      </c>
      <c r="AO22" s="47" t="s">
        <v>157</v>
      </c>
      <c r="AP22" s="47" t="s">
        <v>155</v>
      </c>
      <c r="AQ22" s="40" t="s">
        <v>153</v>
      </c>
      <c r="AS22" s="46">
        <f>AM22+AN22</f>
        <v>0</v>
      </c>
      <c r="AT22" s="46">
        <f>G22/(100-AU22)*100</f>
        <v>0</v>
      </c>
      <c r="AU22" s="46">
        <v>0</v>
      </c>
      <c r="AV22" s="46">
        <f>L22</f>
        <v>0</v>
      </c>
    </row>
    <row r="23" spans="1:48" x14ac:dyDescent="0.2">
      <c r="A23" s="25"/>
      <c r="B23" s="31"/>
      <c r="C23" s="31" t="s">
        <v>53</v>
      </c>
      <c r="D23" s="31" t="s">
        <v>54</v>
      </c>
      <c r="E23" s="25" t="s">
        <v>21</v>
      </c>
      <c r="F23" s="25" t="s">
        <v>21</v>
      </c>
      <c r="G23" s="25" t="s">
        <v>21</v>
      </c>
      <c r="H23" s="53">
        <f>SUM(H24:H31)</f>
        <v>0</v>
      </c>
      <c r="I23" s="53">
        <f>SUM(I24:I31)</f>
        <v>0</v>
      </c>
      <c r="J23" s="53">
        <f>H23+I23</f>
        <v>0</v>
      </c>
      <c r="K23" s="40"/>
      <c r="L23" s="53">
        <f>SUM(L24:L31)</f>
        <v>188.57159458939998</v>
      </c>
      <c r="M23" s="40"/>
      <c r="Y23" s="40"/>
      <c r="AI23" s="53">
        <f>SUM(Z24:Z31)</f>
        <v>0</v>
      </c>
      <c r="AJ23" s="53">
        <f>SUM(AA24:AA31)</f>
        <v>0</v>
      </c>
      <c r="AK23" s="53">
        <f>SUM(AB24:AB31)</f>
        <v>0</v>
      </c>
    </row>
    <row r="24" spans="1:48" x14ac:dyDescent="0.2">
      <c r="A24" s="52" t="s">
        <v>55</v>
      </c>
      <c r="B24" s="52"/>
      <c r="C24" s="52" t="s">
        <v>56</v>
      </c>
      <c r="D24" s="52" t="s">
        <v>57</v>
      </c>
      <c r="E24" s="52" t="s">
        <v>33</v>
      </c>
      <c r="F24" s="51">
        <f>'Rozpočet - vybrané sloupce'!AB23</f>
        <v>31.832000000000001</v>
      </c>
      <c r="G24" s="51">
        <f>'Rozpočet - vybrané sloupce'!AG23</f>
        <v>0</v>
      </c>
      <c r="H24" s="51">
        <f t="shared" ref="H24:H31" si="0">F24*AE24</f>
        <v>0</v>
      </c>
      <c r="I24" s="51">
        <f t="shared" ref="I24:I31" si="1">J24-H24</f>
        <v>0</v>
      </c>
      <c r="J24" s="51">
        <f t="shared" ref="J24:J31" si="2">F24*G24</f>
        <v>0</v>
      </c>
      <c r="K24" s="51">
        <v>2.5855999999999999</v>
      </c>
      <c r="L24" s="51">
        <f t="shared" ref="L24:L31" si="3">F24*K24</f>
        <v>82.304819199999997</v>
      </c>
      <c r="M24" s="44" t="s">
        <v>150</v>
      </c>
      <c r="P24" s="46">
        <f t="shared" ref="P24:P31" si="4">IF(AG24="5",J24,0)</f>
        <v>0</v>
      </c>
      <c r="R24" s="46">
        <f t="shared" ref="R24:R31" si="5">IF(AG24="1",H24,0)</f>
        <v>0</v>
      </c>
      <c r="S24" s="46">
        <f t="shared" ref="S24:S31" si="6">IF(AG24="1",I24,0)</f>
        <v>0</v>
      </c>
      <c r="T24" s="46">
        <f t="shared" ref="T24:T31" si="7">IF(AG24="7",H24,0)</f>
        <v>0</v>
      </c>
      <c r="U24" s="46">
        <f t="shared" ref="U24:U31" si="8">IF(AG24="7",I24,0)</f>
        <v>0</v>
      </c>
      <c r="V24" s="46">
        <f t="shared" ref="V24:V31" si="9">IF(AG24="2",H24,0)</f>
        <v>0</v>
      </c>
      <c r="W24" s="46">
        <f t="shared" ref="W24:W31" si="10">IF(AG24="2",I24,0)</f>
        <v>0</v>
      </c>
      <c r="X24" s="46">
        <f t="shared" ref="X24:X31" si="11">IF(AG24="0",J24,0)</f>
        <v>0</v>
      </c>
      <c r="Y24" s="40"/>
      <c r="Z24" s="51">
        <f t="shared" ref="Z24:Z31" si="12">IF(AD24=0,J24,0)</f>
        <v>0</v>
      </c>
      <c r="AA24" s="51">
        <f t="shared" ref="AA24:AA31" si="13">IF(AD24=15,J24,0)</f>
        <v>0</v>
      </c>
      <c r="AB24" s="51">
        <f t="shared" ref="AB24:AB31" si="14">IF(AD24=21,J24,0)</f>
        <v>0</v>
      </c>
      <c r="AD24" s="46">
        <v>21</v>
      </c>
      <c r="AE24" s="46">
        <f>G24*0.922092243186583</f>
        <v>0</v>
      </c>
      <c r="AF24" s="46">
        <f>G24*(1-0.922092243186583)</f>
        <v>0</v>
      </c>
      <c r="AG24" s="44" t="s">
        <v>24</v>
      </c>
      <c r="AM24" s="46">
        <f t="shared" ref="AM24:AM31" si="15">F24*AE24</f>
        <v>0</v>
      </c>
      <c r="AN24" s="46">
        <f t="shared" ref="AN24:AN31" si="16">F24*AF24</f>
        <v>0</v>
      </c>
      <c r="AO24" s="47" t="s">
        <v>158</v>
      </c>
      <c r="AP24" s="47" t="s">
        <v>159</v>
      </c>
      <c r="AQ24" s="40" t="s">
        <v>153</v>
      </c>
      <c r="AS24" s="46">
        <f t="shared" ref="AS24:AS31" si="17">AM24+AN24</f>
        <v>0</v>
      </c>
      <c r="AT24" s="46">
        <f t="shared" ref="AT24:AT31" si="18">G24/(100-AU24)*100</f>
        <v>0</v>
      </c>
      <c r="AU24" s="46">
        <v>0</v>
      </c>
      <c r="AV24" s="46">
        <f t="shared" ref="AV24:AV31" si="19">L24</f>
        <v>82.304819199999997</v>
      </c>
    </row>
    <row r="25" spans="1:48" x14ac:dyDescent="0.2">
      <c r="A25" s="52" t="s">
        <v>58</v>
      </c>
      <c r="B25" s="52"/>
      <c r="C25" s="52" t="s">
        <v>59</v>
      </c>
      <c r="D25" s="52" t="s">
        <v>60</v>
      </c>
      <c r="E25" s="52" t="s">
        <v>33</v>
      </c>
      <c r="F25" s="51">
        <f>'Rozpočet - vybrané sloupce'!AB24</f>
        <v>18.331499999999998</v>
      </c>
      <c r="G25" s="51">
        <f>'Rozpočet - vybrané sloupce'!AG24</f>
        <v>0</v>
      </c>
      <c r="H25" s="51">
        <f t="shared" si="0"/>
        <v>0</v>
      </c>
      <c r="I25" s="51">
        <f t="shared" si="1"/>
        <v>0</v>
      </c>
      <c r="J25" s="51">
        <f t="shared" si="2"/>
        <v>0</v>
      </c>
      <c r="K25" s="51">
        <v>2.16</v>
      </c>
      <c r="L25" s="51">
        <f t="shared" si="3"/>
        <v>39.596040000000002</v>
      </c>
      <c r="M25" s="44" t="s">
        <v>150</v>
      </c>
      <c r="P25" s="46">
        <f t="shared" si="4"/>
        <v>0</v>
      </c>
      <c r="R25" s="46">
        <f t="shared" si="5"/>
        <v>0</v>
      </c>
      <c r="S25" s="46">
        <f t="shared" si="6"/>
        <v>0</v>
      </c>
      <c r="T25" s="46">
        <f t="shared" si="7"/>
        <v>0</v>
      </c>
      <c r="U25" s="46">
        <f t="shared" si="8"/>
        <v>0</v>
      </c>
      <c r="V25" s="46">
        <f t="shared" si="9"/>
        <v>0</v>
      </c>
      <c r="W25" s="46">
        <f t="shared" si="10"/>
        <v>0</v>
      </c>
      <c r="X25" s="46">
        <f t="shared" si="11"/>
        <v>0</v>
      </c>
      <c r="Y25" s="40"/>
      <c r="Z25" s="51">
        <f t="shared" si="12"/>
        <v>0</v>
      </c>
      <c r="AA25" s="51">
        <f t="shared" si="13"/>
        <v>0</v>
      </c>
      <c r="AB25" s="51">
        <f t="shared" si="14"/>
        <v>0</v>
      </c>
      <c r="AD25" s="46">
        <v>21</v>
      </c>
      <c r="AE25" s="46">
        <f>G25*0.663636257472254</f>
        <v>0</v>
      </c>
      <c r="AF25" s="46">
        <f>G25*(1-0.663636257472254)</f>
        <v>0</v>
      </c>
      <c r="AG25" s="44" t="s">
        <v>24</v>
      </c>
      <c r="AM25" s="46">
        <f t="shared" si="15"/>
        <v>0</v>
      </c>
      <c r="AN25" s="46">
        <f t="shared" si="16"/>
        <v>0</v>
      </c>
      <c r="AO25" s="47" t="s">
        <v>158</v>
      </c>
      <c r="AP25" s="47" t="s">
        <v>159</v>
      </c>
      <c r="AQ25" s="40" t="s">
        <v>153</v>
      </c>
      <c r="AS25" s="46">
        <f t="shared" si="17"/>
        <v>0</v>
      </c>
      <c r="AT25" s="46">
        <f t="shared" si="18"/>
        <v>0</v>
      </c>
      <c r="AU25" s="46">
        <v>0</v>
      </c>
      <c r="AV25" s="46">
        <f t="shared" si="19"/>
        <v>39.596040000000002</v>
      </c>
    </row>
    <row r="26" spans="1:48" x14ac:dyDescent="0.2">
      <c r="A26" s="52" t="s">
        <v>61</v>
      </c>
      <c r="B26" s="52"/>
      <c r="C26" s="52" t="s">
        <v>62</v>
      </c>
      <c r="D26" s="52" t="s">
        <v>63</v>
      </c>
      <c r="E26" s="52" t="s">
        <v>64</v>
      </c>
      <c r="F26" s="51">
        <f>'Rozpočet - vybrané sloupce'!AB25</f>
        <v>37.89</v>
      </c>
      <c r="G26" s="51">
        <f>'Rozpočet - vybrané sloupce'!AG25</f>
        <v>0</v>
      </c>
      <c r="H26" s="51">
        <f t="shared" si="0"/>
        <v>0</v>
      </c>
      <c r="I26" s="51">
        <f t="shared" si="1"/>
        <v>0</v>
      </c>
      <c r="J26" s="51">
        <f t="shared" si="2"/>
        <v>0</v>
      </c>
      <c r="K26" s="51">
        <v>0.74</v>
      </c>
      <c r="L26" s="51">
        <f t="shared" si="3"/>
        <v>28.038599999999999</v>
      </c>
      <c r="M26" s="44" t="s">
        <v>150</v>
      </c>
      <c r="P26" s="46">
        <f t="shared" si="4"/>
        <v>0</v>
      </c>
      <c r="R26" s="46">
        <f t="shared" si="5"/>
        <v>0</v>
      </c>
      <c r="S26" s="46">
        <f t="shared" si="6"/>
        <v>0</v>
      </c>
      <c r="T26" s="46">
        <f t="shared" si="7"/>
        <v>0</v>
      </c>
      <c r="U26" s="46">
        <f t="shared" si="8"/>
        <v>0</v>
      </c>
      <c r="V26" s="46">
        <f t="shared" si="9"/>
        <v>0</v>
      </c>
      <c r="W26" s="46">
        <f t="shared" si="10"/>
        <v>0</v>
      </c>
      <c r="X26" s="46">
        <f t="shared" si="11"/>
        <v>0</v>
      </c>
      <c r="Y26" s="40"/>
      <c r="Z26" s="51">
        <f t="shared" si="12"/>
        <v>0</v>
      </c>
      <c r="AA26" s="51">
        <f t="shared" si="13"/>
        <v>0</v>
      </c>
      <c r="AB26" s="51">
        <f t="shared" si="14"/>
        <v>0</v>
      </c>
      <c r="AD26" s="46">
        <v>21</v>
      </c>
      <c r="AE26" s="46">
        <f>G26*0.654678899082569</f>
        <v>0</v>
      </c>
      <c r="AF26" s="46">
        <f>G26*(1-0.654678899082569)</f>
        <v>0</v>
      </c>
      <c r="AG26" s="44" t="s">
        <v>24</v>
      </c>
      <c r="AM26" s="46">
        <f t="shared" si="15"/>
        <v>0</v>
      </c>
      <c r="AN26" s="46">
        <f t="shared" si="16"/>
        <v>0</v>
      </c>
      <c r="AO26" s="47" t="s">
        <v>158</v>
      </c>
      <c r="AP26" s="47" t="s">
        <v>159</v>
      </c>
      <c r="AQ26" s="40" t="s">
        <v>153</v>
      </c>
      <c r="AS26" s="46">
        <f t="shared" si="17"/>
        <v>0</v>
      </c>
      <c r="AT26" s="46">
        <f t="shared" si="18"/>
        <v>0</v>
      </c>
      <c r="AU26" s="46">
        <v>0</v>
      </c>
      <c r="AV26" s="46">
        <f t="shared" si="19"/>
        <v>28.038599999999999</v>
      </c>
    </row>
    <row r="27" spans="1:48" x14ac:dyDescent="0.2">
      <c r="A27" s="52" t="s">
        <v>65</v>
      </c>
      <c r="B27" s="52"/>
      <c r="C27" s="52" t="s">
        <v>66</v>
      </c>
      <c r="D27" s="52" t="s">
        <v>67</v>
      </c>
      <c r="E27" s="52" t="s">
        <v>27</v>
      </c>
      <c r="F27" s="51">
        <f>'Rozpočet - vybrané sloupce'!AB26</f>
        <v>0.75839999999999996</v>
      </c>
      <c r="G27" s="51">
        <f>'Rozpočet - vybrané sloupce'!AG26</f>
        <v>0</v>
      </c>
      <c r="H27" s="51">
        <f t="shared" si="0"/>
        <v>0</v>
      </c>
      <c r="I27" s="51">
        <f t="shared" si="1"/>
        <v>0</v>
      </c>
      <c r="J27" s="51">
        <f t="shared" si="2"/>
        <v>0</v>
      </c>
      <c r="K27" s="51">
        <v>1.0543899999999999</v>
      </c>
      <c r="L27" s="51">
        <f t="shared" si="3"/>
        <v>0.79964937599999997</v>
      </c>
      <c r="M27" s="44" t="s">
        <v>150</v>
      </c>
      <c r="P27" s="46">
        <f t="shared" si="4"/>
        <v>0</v>
      </c>
      <c r="R27" s="46">
        <f t="shared" si="5"/>
        <v>0</v>
      </c>
      <c r="S27" s="46">
        <f t="shared" si="6"/>
        <v>0</v>
      </c>
      <c r="T27" s="46">
        <f t="shared" si="7"/>
        <v>0</v>
      </c>
      <c r="U27" s="46">
        <f t="shared" si="8"/>
        <v>0</v>
      </c>
      <c r="V27" s="46">
        <f t="shared" si="9"/>
        <v>0</v>
      </c>
      <c r="W27" s="46">
        <f t="shared" si="10"/>
        <v>0</v>
      </c>
      <c r="X27" s="46">
        <f t="shared" si="11"/>
        <v>0</v>
      </c>
      <c r="Y27" s="40"/>
      <c r="Z27" s="51">
        <f t="shared" si="12"/>
        <v>0</v>
      </c>
      <c r="AA27" s="51">
        <f t="shared" si="13"/>
        <v>0</v>
      </c>
      <c r="AB27" s="51">
        <f t="shared" si="14"/>
        <v>0</v>
      </c>
      <c r="AD27" s="46">
        <v>21</v>
      </c>
      <c r="AE27" s="46">
        <f>G27*0.812252005647371</f>
        <v>0</v>
      </c>
      <c r="AF27" s="46">
        <f>G27*(1-0.812252005647371)</f>
        <v>0</v>
      </c>
      <c r="AG27" s="44" t="s">
        <v>24</v>
      </c>
      <c r="AM27" s="46">
        <f t="shared" si="15"/>
        <v>0</v>
      </c>
      <c r="AN27" s="46">
        <f t="shared" si="16"/>
        <v>0</v>
      </c>
      <c r="AO27" s="47" t="s">
        <v>158</v>
      </c>
      <c r="AP27" s="47" t="s">
        <v>159</v>
      </c>
      <c r="AQ27" s="40" t="s">
        <v>153</v>
      </c>
      <c r="AS27" s="46">
        <f t="shared" si="17"/>
        <v>0</v>
      </c>
      <c r="AT27" s="46">
        <f t="shared" si="18"/>
        <v>0</v>
      </c>
      <c r="AU27" s="46">
        <v>0</v>
      </c>
      <c r="AV27" s="46">
        <f t="shared" si="19"/>
        <v>0.79964937599999997</v>
      </c>
    </row>
    <row r="28" spans="1:48" x14ac:dyDescent="0.2">
      <c r="A28" s="52" t="s">
        <v>28</v>
      </c>
      <c r="B28" s="52"/>
      <c r="C28" s="52" t="s">
        <v>68</v>
      </c>
      <c r="D28" s="52" t="s">
        <v>69</v>
      </c>
      <c r="E28" s="52" t="s">
        <v>27</v>
      </c>
      <c r="F28" s="51">
        <f>'Rozpočet - vybrané sloupce'!AB27</f>
        <v>0.62046000000000001</v>
      </c>
      <c r="G28" s="51">
        <f>'Rozpočet - vybrané sloupce'!AG27</f>
        <v>0</v>
      </c>
      <c r="H28" s="51">
        <f t="shared" si="0"/>
        <v>0</v>
      </c>
      <c r="I28" s="51">
        <f t="shared" si="1"/>
        <v>0</v>
      </c>
      <c r="J28" s="51">
        <f t="shared" si="2"/>
        <v>0</v>
      </c>
      <c r="K28" s="51">
        <v>1.00349</v>
      </c>
      <c r="L28" s="51">
        <f t="shared" si="3"/>
        <v>0.6226254054</v>
      </c>
      <c r="M28" s="44" t="s">
        <v>150</v>
      </c>
      <c r="P28" s="46">
        <f t="shared" si="4"/>
        <v>0</v>
      </c>
      <c r="R28" s="46">
        <f t="shared" si="5"/>
        <v>0</v>
      </c>
      <c r="S28" s="46">
        <f t="shared" si="6"/>
        <v>0</v>
      </c>
      <c r="T28" s="46">
        <f t="shared" si="7"/>
        <v>0</v>
      </c>
      <c r="U28" s="46">
        <f t="shared" si="8"/>
        <v>0</v>
      </c>
      <c r="V28" s="46">
        <f t="shared" si="9"/>
        <v>0</v>
      </c>
      <c r="W28" s="46">
        <f t="shared" si="10"/>
        <v>0</v>
      </c>
      <c r="X28" s="46">
        <f t="shared" si="11"/>
        <v>0</v>
      </c>
      <c r="Y28" s="40"/>
      <c r="Z28" s="51">
        <f t="shared" si="12"/>
        <v>0</v>
      </c>
      <c r="AA28" s="51">
        <f t="shared" si="13"/>
        <v>0</v>
      </c>
      <c r="AB28" s="51">
        <f t="shared" si="14"/>
        <v>0</v>
      </c>
      <c r="AD28" s="46">
        <v>21</v>
      </c>
      <c r="AE28" s="46">
        <f>G28*0.514337463354419</f>
        <v>0</v>
      </c>
      <c r="AF28" s="46">
        <f>G28*(1-0.514337463354419)</f>
        <v>0</v>
      </c>
      <c r="AG28" s="44" t="s">
        <v>24</v>
      </c>
      <c r="AM28" s="46">
        <f t="shared" si="15"/>
        <v>0</v>
      </c>
      <c r="AN28" s="46">
        <f t="shared" si="16"/>
        <v>0</v>
      </c>
      <c r="AO28" s="47" t="s">
        <v>158</v>
      </c>
      <c r="AP28" s="47" t="s">
        <v>159</v>
      </c>
      <c r="AQ28" s="40" t="s">
        <v>153</v>
      </c>
      <c r="AS28" s="46">
        <f t="shared" si="17"/>
        <v>0</v>
      </c>
      <c r="AT28" s="46">
        <f t="shared" si="18"/>
        <v>0</v>
      </c>
      <c r="AU28" s="46">
        <v>0</v>
      </c>
      <c r="AV28" s="46">
        <f t="shared" si="19"/>
        <v>0.6226254054</v>
      </c>
    </row>
    <row r="29" spans="1:48" x14ac:dyDescent="0.2">
      <c r="A29" s="52" t="s">
        <v>34</v>
      </c>
      <c r="B29" s="52"/>
      <c r="C29" s="52" t="s">
        <v>70</v>
      </c>
      <c r="D29" s="52" t="s">
        <v>71</v>
      </c>
      <c r="E29" s="52" t="s">
        <v>33</v>
      </c>
      <c r="F29" s="51">
        <f>'Rozpočet - vybrané sloupce'!AB28</f>
        <v>14.21838</v>
      </c>
      <c r="G29" s="51">
        <f>'Rozpočet - vybrané sloupce'!AG28</f>
        <v>0</v>
      </c>
      <c r="H29" s="51">
        <f t="shared" si="0"/>
        <v>0</v>
      </c>
      <c r="I29" s="51">
        <f t="shared" si="1"/>
        <v>0</v>
      </c>
      <c r="J29" s="51">
        <f t="shared" si="2"/>
        <v>0</v>
      </c>
      <c r="K29" s="51">
        <v>2.5855999999999999</v>
      </c>
      <c r="L29" s="51">
        <f t="shared" si="3"/>
        <v>36.763043327999995</v>
      </c>
      <c r="M29" s="44" t="s">
        <v>150</v>
      </c>
      <c r="P29" s="46">
        <f t="shared" si="4"/>
        <v>0</v>
      </c>
      <c r="R29" s="46">
        <f t="shared" si="5"/>
        <v>0</v>
      </c>
      <c r="S29" s="46">
        <f t="shared" si="6"/>
        <v>0</v>
      </c>
      <c r="T29" s="46">
        <f t="shared" si="7"/>
        <v>0</v>
      </c>
      <c r="U29" s="46">
        <f t="shared" si="8"/>
        <v>0</v>
      </c>
      <c r="V29" s="46">
        <f t="shared" si="9"/>
        <v>0</v>
      </c>
      <c r="W29" s="46">
        <f t="shared" si="10"/>
        <v>0</v>
      </c>
      <c r="X29" s="46">
        <f t="shared" si="11"/>
        <v>0</v>
      </c>
      <c r="Y29" s="40"/>
      <c r="Z29" s="51">
        <f t="shared" si="12"/>
        <v>0</v>
      </c>
      <c r="AA29" s="51">
        <f t="shared" si="13"/>
        <v>0</v>
      </c>
      <c r="AB29" s="51">
        <f t="shared" si="14"/>
        <v>0</v>
      </c>
      <c r="AD29" s="46">
        <v>21</v>
      </c>
      <c r="AE29" s="46">
        <f>G29*0.922092142577418</f>
        <v>0</v>
      </c>
      <c r="AF29" s="46">
        <f>G29*(1-0.922092142577418)</f>
        <v>0</v>
      </c>
      <c r="AG29" s="44" t="s">
        <v>24</v>
      </c>
      <c r="AM29" s="46">
        <f t="shared" si="15"/>
        <v>0</v>
      </c>
      <c r="AN29" s="46">
        <f t="shared" si="16"/>
        <v>0</v>
      </c>
      <c r="AO29" s="47" t="s">
        <v>158</v>
      </c>
      <c r="AP29" s="47" t="s">
        <v>159</v>
      </c>
      <c r="AQ29" s="40" t="s">
        <v>153</v>
      </c>
      <c r="AS29" s="46">
        <f t="shared" si="17"/>
        <v>0</v>
      </c>
      <c r="AT29" s="46">
        <f t="shared" si="18"/>
        <v>0</v>
      </c>
      <c r="AU29" s="46">
        <v>0</v>
      </c>
      <c r="AV29" s="46">
        <f t="shared" si="19"/>
        <v>36.763043327999995</v>
      </c>
    </row>
    <row r="30" spans="1:48" x14ac:dyDescent="0.2">
      <c r="A30" s="52" t="s">
        <v>72</v>
      </c>
      <c r="B30" s="52"/>
      <c r="C30" s="52" t="s">
        <v>73</v>
      </c>
      <c r="D30" s="52" t="s">
        <v>74</v>
      </c>
      <c r="E30" s="52" t="s">
        <v>64</v>
      </c>
      <c r="F30" s="51">
        <f>'Rozpočet - vybrané sloupce'!AB29</f>
        <v>11.398400000000001</v>
      </c>
      <c r="G30" s="51">
        <f>'Rozpočet - vybrané sloupce'!AG29</f>
        <v>0</v>
      </c>
      <c r="H30" s="51">
        <f t="shared" si="0"/>
        <v>0</v>
      </c>
      <c r="I30" s="51">
        <f t="shared" si="1"/>
        <v>0</v>
      </c>
      <c r="J30" s="51">
        <f t="shared" si="2"/>
        <v>0</v>
      </c>
      <c r="K30" s="51">
        <v>3.9199999999999999E-2</v>
      </c>
      <c r="L30" s="51">
        <f t="shared" si="3"/>
        <v>0.44681727999999998</v>
      </c>
      <c r="M30" s="44" t="s">
        <v>150</v>
      </c>
      <c r="P30" s="46">
        <f t="shared" si="4"/>
        <v>0</v>
      </c>
      <c r="R30" s="46">
        <f t="shared" si="5"/>
        <v>0</v>
      </c>
      <c r="S30" s="46">
        <f t="shared" si="6"/>
        <v>0</v>
      </c>
      <c r="T30" s="46">
        <f t="shared" si="7"/>
        <v>0</v>
      </c>
      <c r="U30" s="46">
        <f t="shared" si="8"/>
        <v>0</v>
      </c>
      <c r="V30" s="46">
        <f t="shared" si="9"/>
        <v>0</v>
      </c>
      <c r="W30" s="46">
        <f t="shared" si="10"/>
        <v>0</v>
      </c>
      <c r="X30" s="46">
        <f t="shared" si="11"/>
        <v>0</v>
      </c>
      <c r="Y30" s="40"/>
      <c r="Z30" s="51">
        <f t="shared" si="12"/>
        <v>0</v>
      </c>
      <c r="AA30" s="51">
        <f t="shared" si="13"/>
        <v>0</v>
      </c>
      <c r="AB30" s="51">
        <f t="shared" si="14"/>
        <v>0</v>
      </c>
      <c r="AD30" s="46">
        <v>21</v>
      </c>
      <c r="AE30" s="46">
        <f>G30*0.232867423383381</f>
        <v>0</v>
      </c>
      <c r="AF30" s="46">
        <f>G30*(1-0.232867423383381)</f>
        <v>0</v>
      </c>
      <c r="AG30" s="44" t="s">
        <v>24</v>
      </c>
      <c r="AM30" s="46">
        <f t="shared" si="15"/>
        <v>0</v>
      </c>
      <c r="AN30" s="46">
        <f t="shared" si="16"/>
        <v>0</v>
      </c>
      <c r="AO30" s="47" t="s">
        <v>158</v>
      </c>
      <c r="AP30" s="47" t="s">
        <v>159</v>
      </c>
      <c r="AQ30" s="40" t="s">
        <v>153</v>
      </c>
      <c r="AS30" s="46">
        <f t="shared" si="17"/>
        <v>0</v>
      </c>
      <c r="AT30" s="46">
        <f t="shared" si="18"/>
        <v>0</v>
      </c>
      <c r="AU30" s="46">
        <v>0</v>
      </c>
      <c r="AV30" s="46">
        <f t="shared" si="19"/>
        <v>0.44681727999999998</v>
      </c>
    </row>
    <row r="31" spans="1:48" x14ac:dyDescent="0.2">
      <c r="A31" s="52" t="s">
        <v>75</v>
      </c>
      <c r="B31" s="52"/>
      <c r="C31" s="52" t="s">
        <v>76</v>
      </c>
      <c r="D31" s="52" t="s">
        <v>77</v>
      </c>
      <c r="E31" s="52" t="s">
        <v>64</v>
      </c>
      <c r="F31" s="51">
        <f>'Rozpočet - vybrané sloupce'!AB30</f>
        <v>11.398400000000001</v>
      </c>
      <c r="G31" s="51">
        <f>'Rozpočet - vybrané sloupce'!AG30</f>
        <v>0</v>
      </c>
      <c r="H31" s="51">
        <f t="shared" si="0"/>
        <v>0</v>
      </c>
      <c r="I31" s="51">
        <f t="shared" si="1"/>
        <v>0</v>
      </c>
      <c r="J31" s="51">
        <f t="shared" si="2"/>
        <v>0</v>
      </c>
      <c r="K31" s="51">
        <v>0</v>
      </c>
      <c r="L31" s="51">
        <f t="shared" si="3"/>
        <v>0</v>
      </c>
      <c r="M31" s="44" t="s">
        <v>150</v>
      </c>
      <c r="P31" s="46">
        <f t="shared" si="4"/>
        <v>0</v>
      </c>
      <c r="R31" s="46">
        <f t="shared" si="5"/>
        <v>0</v>
      </c>
      <c r="S31" s="46">
        <f t="shared" si="6"/>
        <v>0</v>
      </c>
      <c r="T31" s="46">
        <f t="shared" si="7"/>
        <v>0</v>
      </c>
      <c r="U31" s="46">
        <f t="shared" si="8"/>
        <v>0</v>
      </c>
      <c r="V31" s="46">
        <f t="shared" si="9"/>
        <v>0</v>
      </c>
      <c r="W31" s="46">
        <f t="shared" si="10"/>
        <v>0</v>
      </c>
      <c r="X31" s="46">
        <f t="shared" si="11"/>
        <v>0</v>
      </c>
      <c r="Y31" s="40"/>
      <c r="Z31" s="51">
        <f t="shared" si="12"/>
        <v>0</v>
      </c>
      <c r="AA31" s="51">
        <f t="shared" si="13"/>
        <v>0</v>
      </c>
      <c r="AB31" s="51">
        <f t="shared" si="14"/>
        <v>0</v>
      </c>
      <c r="AD31" s="46">
        <v>21</v>
      </c>
      <c r="AE31" s="46">
        <f>G31*0</f>
        <v>0</v>
      </c>
      <c r="AF31" s="46">
        <f>G31*(1-0)</f>
        <v>0</v>
      </c>
      <c r="AG31" s="44" t="s">
        <v>24</v>
      </c>
      <c r="AM31" s="46">
        <f t="shared" si="15"/>
        <v>0</v>
      </c>
      <c r="AN31" s="46">
        <f t="shared" si="16"/>
        <v>0</v>
      </c>
      <c r="AO31" s="47" t="s">
        <v>158</v>
      </c>
      <c r="AP31" s="47" t="s">
        <v>159</v>
      </c>
      <c r="AQ31" s="40" t="s">
        <v>153</v>
      </c>
      <c r="AS31" s="46">
        <f t="shared" si="17"/>
        <v>0</v>
      </c>
      <c r="AT31" s="46">
        <f t="shared" si="18"/>
        <v>0</v>
      </c>
      <c r="AU31" s="46">
        <v>0</v>
      </c>
      <c r="AV31" s="46">
        <f t="shared" si="19"/>
        <v>0</v>
      </c>
    </row>
    <row r="32" spans="1:48" x14ac:dyDescent="0.2">
      <c r="A32" s="25"/>
      <c r="B32" s="31"/>
      <c r="C32" s="31" t="s">
        <v>78</v>
      </c>
      <c r="D32" s="31" t="s">
        <v>79</v>
      </c>
      <c r="E32" s="25" t="s">
        <v>21</v>
      </c>
      <c r="F32" s="25" t="s">
        <v>21</v>
      </c>
      <c r="G32" s="25" t="s">
        <v>21</v>
      </c>
      <c r="H32" s="53">
        <f>SUM(H33:H33)</f>
        <v>0</v>
      </c>
      <c r="I32" s="53">
        <f>SUM(I33:I33)</f>
        <v>0</v>
      </c>
      <c r="J32" s="53">
        <f>H32+I32</f>
        <v>0</v>
      </c>
      <c r="K32" s="40"/>
      <c r="L32" s="53">
        <f>SUM(L33:L33)</f>
        <v>0</v>
      </c>
      <c r="M32" s="40"/>
      <c r="Y32" s="40"/>
      <c r="AI32" s="53">
        <f>SUM(Z33:Z33)</f>
        <v>0</v>
      </c>
      <c r="AJ32" s="53">
        <f>SUM(AA33:AA33)</f>
        <v>0</v>
      </c>
      <c r="AK32" s="53">
        <f>SUM(AB33:AB33)</f>
        <v>0</v>
      </c>
    </row>
    <row r="33" spans="1:48" x14ac:dyDescent="0.2">
      <c r="A33" s="26" t="s">
        <v>42</v>
      </c>
      <c r="B33" s="26"/>
      <c r="C33" s="26" t="s">
        <v>80</v>
      </c>
      <c r="D33" s="26" t="s">
        <v>81</v>
      </c>
      <c r="E33" s="26" t="s">
        <v>82</v>
      </c>
      <c r="F33" s="41">
        <f>'Rozpočet - vybrané sloupce'!AB32</f>
        <v>500</v>
      </c>
      <c r="G33" s="41">
        <f>'Rozpočet - vybrané sloupce'!AG32</f>
        <v>0</v>
      </c>
      <c r="H33" s="41">
        <f>F33*AE33</f>
        <v>0</v>
      </c>
      <c r="I33" s="41">
        <f>J33-H33</f>
        <v>0</v>
      </c>
      <c r="J33" s="41">
        <f>F33*G33</f>
        <v>0</v>
      </c>
      <c r="K33" s="41">
        <v>0</v>
      </c>
      <c r="L33" s="41">
        <f>F33*K33</f>
        <v>0</v>
      </c>
      <c r="M33" s="45" t="s">
        <v>160</v>
      </c>
      <c r="P33" s="46">
        <f>IF(AG33="5",J33,0)</f>
        <v>0</v>
      </c>
      <c r="R33" s="46">
        <f>IF(AG33="1",H33,0)</f>
        <v>0</v>
      </c>
      <c r="S33" s="46">
        <f>IF(AG33="1",I33,0)</f>
        <v>0</v>
      </c>
      <c r="T33" s="46">
        <f>IF(AG33="7",H33,0)</f>
        <v>0</v>
      </c>
      <c r="U33" s="46">
        <f>IF(AG33="7",I33,0)</f>
        <v>0</v>
      </c>
      <c r="V33" s="46">
        <f>IF(AG33="2",H33,0)</f>
        <v>0</v>
      </c>
      <c r="W33" s="46">
        <f>IF(AG33="2",I33,0)</f>
        <v>0</v>
      </c>
      <c r="X33" s="46">
        <f>IF(AG33="0",J33,0)</f>
        <v>0</v>
      </c>
      <c r="Y33" s="40"/>
      <c r="Z33" s="51">
        <f>IF(AD33=0,J33,0)</f>
        <v>0</v>
      </c>
      <c r="AA33" s="51">
        <f>IF(AD33=15,J33,0)</f>
        <v>0</v>
      </c>
      <c r="AB33" s="51">
        <f>IF(AD33=21,J33,0)</f>
        <v>0</v>
      </c>
      <c r="AD33" s="46">
        <v>21</v>
      </c>
      <c r="AE33" s="46">
        <f>G33*0</f>
        <v>0</v>
      </c>
      <c r="AF33" s="46">
        <f>G33*(1-0)</f>
        <v>0</v>
      </c>
      <c r="AG33" s="44" t="s">
        <v>44</v>
      </c>
      <c r="AM33" s="46">
        <f>F33*AE33</f>
        <v>0</v>
      </c>
      <c r="AN33" s="46">
        <f>F33*AF33</f>
        <v>0</v>
      </c>
      <c r="AO33" s="47" t="s">
        <v>161</v>
      </c>
      <c r="AP33" s="47" t="s">
        <v>162</v>
      </c>
      <c r="AQ33" s="40" t="s">
        <v>153</v>
      </c>
      <c r="AS33" s="46">
        <f>AM33+AN33</f>
        <v>0</v>
      </c>
      <c r="AT33" s="46">
        <f>G33/(100-AU33)*100</f>
        <v>0</v>
      </c>
      <c r="AU33" s="46">
        <v>0</v>
      </c>
      <c r="AV33" s="46">
        <f>L33</f>
        <v>0</v>
      </c>
    </row>
    <row r="34" spans="1:48" x14ac:dyDescent="0.2">
      <c r="A34" s="7"/>
      <c r="B34" s="7"/>
      <c r="C34" s="7"/>
      <c r="D34" s="7"/>
      <c r="E34" s="7"/>
      <c r="F34" s="7"/>
      <c r="G34" s="7"/>
      <c r="H34" s="122" t="s">
        <v>83</v>
      </c>
      <c r="I34" s="93"/>
      <c r="J34" s="49">
        <f>J12+J14+J16+J19+J23+J32</f>
        <v>0</v>
      </c>
      <c r="K34" s="7"/>
      <c r="L34" s="7"/>
      <c r="M34" s="7"/>
    </row>
    <row r="35" spans="1:48" ht="11.25" customHeight="1" x14ac:dyDescent="0.2">
      <c r="A35" s="27" t="s">
        <v>128</v>
      </c>
    </row>
    <row r="36" spans="1:48" x14ac:dyDescent="0.2">
      <c r="A36" s="81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</sheetData>
  <mergeCells count="29">
    <mergeCell ref="A1:M1"/>
    <mergeCell ref="A2:C3"/>
    <mergeCell ref="D2:D3"/>
    <mergeCell ref="E2:F3"/>
    <mergeCell ref="G2:H3"/>
    <mergeCell ref="I2:I3"/>
    <mergeCell ref="J2:M3"/>
    <mergeCell ref="J4:M5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H10:J10"/>
    <mergeCell ref="K10:L10"/>
    <mergeCell ref="H34:I34"/>
    <mergeCell ref="A36:M36"/>
    <mergeCell ref="A8:C9"/>
    <mergeCell ref="D8:D9"/>
    <mergeCell ref="E8:F9"/>
    <mergeCell ref="G8:H9"/>
    <mergeCell ref="I8:I9"/>
    <mergeCell ref="J8:M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- vybrané sloupce</vt:lpstr>
      <vt:lpstr>Krycí list rozpočtu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revision/>
  <dcterms:created xsi:type="dcterms:W3CDTF">2019-07-15T13:12:00Z</dcterms:created>
  <dcterms:modified xsi:type="dcterms:W3CDTF">2019-07-29T09:32:16Z</dcterms:modified>
</cp:coreProperties>
</file>